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rdinia.vic.gov.au\dfs\User.Data\arnottc\My Documents\_Data\"/>
    </mc:Choice>
  </mc:AlternateContent>
  <workbookProtection lockStructure="1"/>
  <bookViews>
    <workbookView xWindow="0" yWindow="0" windowWidth="28800" windowHeight="12600"/>
  </bookViews>
  <sheets>
    <sheet name="Summary" sheetId="1" r:id="rId1"/>
    <sheet name="Population" sheetId="19" state="hidden" r:id="rId2"/>
    <sheet name="Sex" sheetId="3" state="hidden" r:id="rId3"/>
    <sheet name="Education" sheetId="4" state="hidden" r:id="rId4"/>
    <sheet name="Employment" sheetId="5" state="hidden" r:id="rId5"/>
    <sheet name="Disengaged" sheetId="6" state="hidden" r:id="rId6"/>
    <sheet name="Transport" sheetId="9" state="hidden" r:id="rId7"/>
    <sheet name="Living arrangements" sheetId="7" state="hidden" r:id="rId8"/>
    <sheet name="Disability" sheetId="12" state="hidden" r:id="rId9"/>
    <sheet name="Language" sheetId="8" state="hidden" r:id="rId10"/>
    <sheet name="AOD Stats" sheetId="13" state="hidden" r:id="rId11"/>
    <sheet name="ACP" sheetId="16" state="hidden" r:id="rId12"/>
    <sheet name="On Track" sheetId="14" state="hidden" r:id="rId13"/>
    <sheet name="PHIDU" sheetId="20" state="hidden" r:id="rId14"/>
    <sheet name="AHWP 2010" sheetId="18" state="hidden" r:id="rId15"/>
    <sheet name="VicHealth" sheetId="17" state="hidden" r:id="rId16"/>
  </sheets>
  <definedNames>
    <definedName name="_xlnm.Print_Area" localSheetId="0">Summary!$A$4:$G$129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9" l="1"/>
  <c r="C32" i="19"/>
  <c r="D32" i="19"/>
  <c r="E32" i="19"/>
  <c r="B32" i="19"/>
  <c r="D24" i="19"/>
  <c r="F24" i="19" s="1"/>
  <c r="D22" i="19"/>
  <c r="D23" i="19"/>
  <c r="F23" i="19" s="1"/>
  <c r="D25" i="19"/>
  <c r="F25" i="19" s="1"/>
  <c r="D26" i="19"/>
  <c r="F26" i="19" s="1"/>
  <c r="D27" i="19"/>
  <c r="F27" i="19" s="1"/>
  <c r="D28" i="19"/>
  <c r="F28" i="19" s="1"/>
  <c r="D29" i="19"/>
  <c r="F29" i="19" s="1"/>
  <c r="D30" i="19"/>
  <c r="F30" i="19" s="1"/>
  <c r="D31" i="19"/>
  <c r="F31" i="19" s="1"/>
  <c r="D129" i="1"/>
  <c r="C129" i="1" s="1"/>
  <c r="D128" i="1"/>
  <c r="C128" i="1" s="1"/>
  <c r="P32" i="8"/>
  <c r="Q32" i="8"/>
  <c r="B16" i="8"/>
  <c r="C16" i="8"/>
  <c r="D16" i="8"/>
  <c r="DY16" i="8"/>
  <c r="DZ16" i="8"/>
  <c r="J16" i="12"/>
  <c r="K16" i="12"/>
  <c r="L16" i="12"/>
  <c r="M16" i="12"/>
  <c r="P270" i="9"/>
  <c r="Q270" i="9"/>
  <c r="Q261" i="9"/>
  <c r="Q262" i="9"/>
  <c r="Q263" i="9"/>
  <c r="Q264" i="9"/>
  <c r="Q265" i="9"/>
  <c r="Q266" i="9"/>
  <c r="Q267" i="9"/>
  <c r="Q268" i="9"/>
  <c r="Q269" i="9"/>
  <c r="C60" i="1"/>
  <c r="B60" i="1"/>
  <c r="C59" i="1"/>
  <c r="B59" i="1"/>
  <c r="C58" i="1"/>
  <c r="B58" i="1"/>
  <c r="D56" i="1"/>
  <c r="D60" i="1" s="1"/>
  <c r="T16" i="6"/>
  <c r="V16" i="6" s="1"/>
  <c r="U16" i="6"/>
  <c r="Z16" i="6" s="1"/>
  <c r="W16" i="6"/>
  <c r="X16" i="6"/>
  <c r="Y16" i="6"/>
  <c r="AA16" i="6"/>
  <c r="X45" i="5"/>
  <c r="Z45" i="5" s="1"/>
  <c r="Y45" i="5"/>
  <c r="AA45" i="5"/>
  <c r="S30" i="5"/>
  <c r="T30" i="5"/>
  <c r="U30" i="5"/>
  <c r="V30" i="5"/>
  <c r="W30" i="5"/>
  <c r="J15" i="5"/>
  <c r="K15" i="5" s="1"/>
  <c r="M15" i="5"/>
  <c r="N15" i="5"/>
  <c r="Z47" i="4"/>
  <c r="AB47" i="4" s="1"/>
  <c r="Q31" i="4"/>
  <c r="S31" i="4" s="1"/>
  <c r="R31" i="4"/>
  <c r="T31" i="4"/>
  <c r="U31" i="4"/>
  <c r="V31" i="4"/>
  <c r="W31" i="4"/>
  <c r="X31" i="4"/>
  <c r="J16" i="3"/>
  <c r="K16" i="3"/>
  <c r="L16" i="3"/>
  <c r="M16" i="3"/>
  <c r="I16" i="3"/>
  <c r="H16" i="3"/>
  <c r="G16" i="3"/>
  <c r="D16" i="3"/>
  <c r="F22" i="19"/>
  <c r="D17" i="19"/>
  <c r="I17" i="19" s="1"/>
  <c r="G17" i="19"/>
  <c r="H17" i="19"/>
  <c r="E60" i="1" l="1"/>
  <c r="E58" i="1"/>
  <c r="E59" i="1"/>
  <c r="D58" i="1"/>
  <c r="D59" i="1"/>
  <c r="L15" i="5"/>
  <c r="AD47" i="4"/>
  <c r="AC47" i="4"/>
  <c r="X32" i="7"/>
  <c r="Y32" i="7"/>
  <c r="Z32" i="7"/>
  <c r="AA32" i="7"/>
  <c r="BL16" i="7"/>
  <c r="BM16" i="7"/>
  <c r="BR16" i="7" s="1"/>
  <c r="BN16" i="7"/>
  <c r="BO16" i="7"/>
  <c r="BP16" i="7"/>
  <c r="BQ16" i="7"/>
  <c r="BS16" i="7"/>
  <c r="BU16" i="7"/>
  <c r="Q260" i="9"/>
  <c r="Q271" i="9"/>
  <c r="P271" i="9"/>
  <c r="L243" i="9"/>
  <c r="L256" i="9" s="1"/>
  <c r="L244" i="9"/>
  <c r="L245" i="9"/>
  <c r="L246" i="9"/>
  <c r="L247" i="9"/>
  <c r="L248" i="9"/>
  <c r="L249" i="9"/>
  <c r="L250" i="9"/>
  <c r="L251" i="9"/>
  <c r="L252" i="9"/>
  <c r="L253" i="9"/>
  <c r="L254" i="9"/>
  <c r="L255" i="9"/>
  <c r="L241" i="9"/>
  <c r="BT16" i="7" l="1"/>
  <c r="G120" i="1"/>
  <c r="F120" i="1"/>
  <c r="D126" i="1"/>
  <c r="C126" i="1" s="1"/>
  <c r="D125" i="1"/>
  <c r="C125" i="1" s="1"/>
  <c r="D123" i="1"/>
  <c r="C123" i="1" s="1"/>
  <c r="D122" i="1"/>
  <c r="C122" i="1" s="1"/>
  <c r="D120" i="1"/>
  <c r="C120" i="1" s="1"/>
  <c r="D119" i="1"/>
  <c r="C119" i="1" s="1"/>
  <c r="D116" i="1"/>
  <c r="C116" i="1" s="1"/>
  <c r="D117" i="1"/>
  <c r="C117" i="1" s="1"/>
  <c r="B106" i="1"/>
  <c r="L106" i="1" s="1"/>
  <c r="B105" i="1"/>
  <c r="A102" i="1" s="1"/>
  <c r="B104" i="1"/>
  <c r="L104" i="1" s="1"/>
  <c r="B103" i="1"/>
  <c r="L103" i="1" s="1"/>
  <c r="D65" i="1"/>
  <c r="C65" i="1"/>
  <c r="P261" i="9"/>
  <c r="P262" i="9"/>
  <c r="P263" i="9"/>
  <c r="P264" i="9"/>
  <c r="P265" i="9"/>
  <c r="P266" i="9"/>
  <c r="P267" i="9"/>
  <c r="P268" i="9"/>
  <c r="P269" i="9"/>
  <c r="P260" i="9"/>
  <c r="C270" i="9"/>
  <c r="D270" i="9"/>
  <c r="E270" i="9"/>
  <c r="F270" i="9"/>
  <c r="G270" i="9"/>
  <c r="H270" i="9"/>
  <c r="I270" i="9"/>
  <c r="J270" i="9"/>
  <c r="K270" i="9"/>
  <c r="L270" i="9"/>
  <c r="B270" i="9"/>
  <c r="C247" i="9"/>
  <c r="D247" i="9"/>
  <c r="E247" i="9"/>
  <c r="F247" i="9"/>
  <c r="G247" i="9"/>
  <c r="H247" i="9"/>
  <c r="I247" i="9"/>
  <c r="J247" i="9"/>
  <c r="K247" i="9"/>
  <c r="B247" i="9"/>
  <c r="C241" i="9"/>
  <c r="D241" i="9"/>
  <c r="E241" i="9"/>
  <c r="F241" i="9"/>
  <c r="G241" i="9"/>
  <c r="H241" i="9"/>
  <c r="I241" i="9"/>
  <c r="J241" i="9"/>
  <c r="K241" i="9"/>
  <c r="C243" i="9"/>
  <c r="D243" i="9"/>
  <c r="E243" i="9"/>
  <c r="F243" i="9"/>
  <c r="G243" i="9"/>
  <c r="H243" i="9"/>
  <c r="I243" i="9"/>
  <c r="J243" i="9"/>
  <c r="K243" i="9"/>
  <c r="C244" i="9"/>
  <c r="D244" i="9"/>
  <c r="E244" i="9"/>
  <c r="F244" i="9"/>
  <c r="G244" i="9"/>
  <c r="H244" i="9"/>
  <c r="I244" i="9"/>
  <c r="J244" i="9"/>
  <c r="K244" i="9"/>
  <c r="C245" i="9"/>
  <c r="D245" i="9"/>
  <c r="E245" i="9"/>
  <c r="F245" i="9"/>
  <c r="G245" i="9"/>
  <c r="H245" i="9"/>
  <c r="I245" i="9"/>
  <c r="J245" i="9"/>
  <c r="K245" i="9"/>
  <c r="C246" i="9"/>
  <c r="D246" i="9"/>
  <c r="E246" i="9"/>
  <c r="F246" i="9"/>
  <c r="G246" i="9"/>
  <c r="H246" i="9"/>
  <c r="I246" i="9"/>
  <c r="J246" i="9"/>
  <c r="K246" i="9"/>
  <c r="C248" i="9"/>
  <c r="D248" i="9"/>
  <c r="E248" i="9"/>
  <c r="F248" i="9"/>
  <c r="G248" i="9"/>
  <c r="H248" i="9"/>
  <c r="I248" i="9"/>
  <c r="J248" i="9"/>
  <c r="K248" i="9"/>
  <c r="C249" i="9"/>
  <c r="D249" i="9"/>
  <c r="E249" i="9"/>
  <c r="F249" i="9"/>
  <c r="G249" i="9"/>
  <c r="H249" i="9"/>
  <c r="I249" i="9"/>
  <c r="J249" i="9"/>
  <c r="K249" i="9"/>
  <c r="C250" i="9"/>
  <c r="D250" i="9"/>
  <c r="E250" i="9"/>
  <c r="F250" i="9"/>
  <c r="G250" i="9"/>
  <c r="H250" i="9"/>
  <c r="I250" i="9"/>
  <c r="J250" i="9"/>
  <c r="K250" i="9"/>
  <c r="C251" i="9"/>
  <c r="D251" i="9"/>
  <c r="E251" i="9"/>
  <c r="F251" i="9"/>
  <c r="G251" i="9"/>
  <c r="H251" i="9"/>
  <c r="I251" i="9"/>
  <c r="J251" i="9"/>
  <c r="K251" i="9"/>
  <c r="C252" i="9"/>
  <c r="D252" i="9"/>
  <c r="E252" i="9"/>
  <c r="F252" i="9"/>
  <c r="G252" i="9"/>
  <c r="H252" i="9"/>
  <c r="I252" i="9"/>
  <c r="J252" i="9"/>
  <c r="K252" i="9"/>
  <c r="C253" i="9"/>
  <c r="D253" i="9"/>
  <c r="E253" i="9"/>
  <c r="F253" i="9"/>
  <c r="G253" i="9"/>
  <c r="H253" i="9"/>
  <c r="I253" i="9"/>
  <c r="J253" i="9"/>
  <c r="K253" i="9"/>
  <c r="C254" i="9"/>
  <c r="D254" i="9"/>
  <c r="E254" i="9"/>
  <c r="F254" i="9"/>
  <c r="G254" i="9"/>
  <c r="H254" i="9"/>
  <c r="I254" i="9"/>
  <c r="J254" i="9"/>
  <c r="K254" i="9"/>
  <c r="C255" i="9"/>
  <c r="D255" i="9"/>
  <c r="E255" i="9"/>
  <c r="F255" i="9"/>
  <c r="G255" i="9"/>
  <c r="H255" i="9"/>
  <c r="I255" i="9"/>
  <c r="J255" i="9"/>
  <c r="K255" i="9"/>
  <c r="B241" i="9"/>
  <c r="B255" i="9"/>
  <c r="B252" i="9"/>
  <c r="B251" i="9"/>
  <c r="B250" i="9"/>
  <c r="B248" i="9"/>
  <c r="B249" i="9"/>
  <c r="B246" i="9"/>
  <c r="B245" i="9"/>
  <c r="B244" i="9"/>
  <c r="B243" i="9"/>
  <c r="B254" i="9"/>
  <c r="B253" i="9"/>
  <c r="L6" i="12"/>
  <c r="L8" i="12"/>
  <c r="M8" i="12"/>
  <c r="L9" i="12"/>
  <c r="L12" i="12"/>
  <c r="L13" i="12"/>
  <c r="L14" i="12"/>
  <c r="M5" i="12"/>
  <c r="L5" i="12"/>
  <c r="K6" i="12"/>
  <c r="M6" i="12" s="1"/>
  <c r="K7" i="12"/>
  <c r="M7" i="12" s="1"/>
  <c r="K8" i="12"/>
  <c r="K9" i="12"/>
  <c r="M9" i="12" s="1"/>
  <c r="K10" i="12"/>
  <c r="M10" i="12" s="1"/>
  <c r="K11" i="12"/>
  <c r="M11" i="12" s="1"/>
  <c r="K12" i="12"/>
  <c r="M12" i="12" s="1"/>
  <c r="K13" i="12"/>
  <c r="M13" i="12" s="1"/>
  <c r="K14" i="12"/>
  <c r="M14" i="12" s="1"/>
  <c r="K5" i="12"/>
  <c r="J6" i="12"/>
  <c r="J7" i="12"/>
  <c r="L7" i="12" s="1"/>
  <c r="J8" i="12"/>
  <c r="J9" i="12"/>
  <c r="J10" i="12"/>
  <c r="L10" i="12" s="1"/>
  <c r="J11" i="12"/>
  <c r="L11" i="12" s="1"/>
  <c r="J12" i="12"/>
  <c r="J13" i="12"/>
  <c r="J14" i="12"/>
  <c r="J5" i="12"/>
  <c r="C15" i="12"/>
  <c r="D15" i="12"/>
  <c r="E15" i="12"/>
  <c r="J15" i="12" s="1"/>
  <c r="F15" i="12"/>
  <c r="K15" i="12" s="1"/>
  <c r="G15" i="12"/>
  <c r="H15" i="12"/>
  <c r="I15" i="12"/>
  <c r="B15" i="12"/>
  <c r="D89" i="1"/>
  <c r="C89" i="1"/>
  <c r="Q23" i="8"/>
  <c r="Q27" i="8"/>
  <c r="Q28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B31" i="8"/>
  <c r="P22" i="8"/>
  <c r="Q22" i="8" s="1"/>
  <c r="P23" i="8"/>
  <c r="P24" i="8"/>
  <c r="Q24" i="8" s="1"/>
  <c r="P25" i="8"/>
  <c r="Q25" i="8" s="1"/>
  <c r="P26" i="8"/>
  <c r="Q26" i="8" s="1"/>
  <c r="P27" i="8"/>
  <c r="P28" i="8"/>
  <c r="P29" i="8"/>
  <c r="Q29" i="8" s="1"/>
  <c r="P30" i="8"/>
  <c r="Q30" i="8" s="1"/>
  <c r="P21" i="8"/>
  <c r="Q21" i="8" s="1"/>
  <c r="D99" i="1"/>
  <c r="C99" i="1" s="1"/>
  <c r="D98" i="1"/>
  <c r="C98" i="1" s="1"/>
  <c r="D8" i="8"/>
  <c r="D96" i="1"/>
  <c r="C96" i="1" s="1"/>
  <c r="D95" i="1"/>
  <c r="C95" i="1" s="1"/>
  <c r="C84" i="1"/>
  <c r="D84" i="1"/>
  <c r="Z22" i="7"/>
  <c r="Z24" i="7"/>
  <c r="AA24" i="7"/>
  <c r="Z26" i="7"/>
  <c r="AA26" i="7"/>
  <c r="Z28" i="7"/>
  <c r="Z30" i="7"/>
  <c r="AA21" i="7"/>
  <c r="Z21" i="7"/>
  <c r="X22" i="7"/>
  <c r="Y22" i="7"/>
  <c r="AA22" i="7" s="1"/>
  <c r="X23" i="7"/>
  <c r="Z23" i="7" s="1"/>
  <c r="Y23" i="7"/>
  <c r="AA23" i="7" s="1"/>
  <c r="X24" i="7"/>
  <c r="Y24" i="7"/>
  <c r="X25" i="7"/>
  <c r="Z25" i="7" s="1"/>
  <c r="Y25" i="7"/>
  <c r="AA25" i="7" s="1"/>
  <c r="X26" i="7"/>
  <c r="Y26" i="7"/>
  <c r="X27" i="7"/>
  <c r="Z27" i="7" s="1"/>
  <c r="Y27" i="7"/>
  <c r="AA27" i="7" s="1"/>
  <c r="X28" i="7"/>
  <c r="Y28" i="7"/>
  <c r="AA28" i="7" s="1"/>
  <c r="X29" i="7"/>
  <c r="Z29" i="7" s="1"/>
  <c r="Y29" i="7"/>
  <c r="AA29" i="7" s="1"/>
  <c r="X30" i="7"/>
  <c r="Y30" i="7"/>
  <c r="AA30" i="7" s="1"/>
  <c r="X31" i="7"/>
  <c r="Z31" i="7" s="1"/>
  <c r="Y31" i="7"/>
  <c r="AA31" i="7" s="1"/>
  <c r="Y21" i="7"/>
  <c r="X21" i="7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E15" i="8"/>
  <c r="B8" i="8"/>
  <c r="DY6" i="8"/>
  <c r="DZ6" i="8"/>
  <c r="C6" i="8" s="1"/>
  <c r="DY7" i="8"/>
  <c r="B7" i="8" s="1"/>
  <c r="DZ7" i="8"/>
  <c r="C7" i="8" s="1"/>
  <c r="DY8" i="8"/>
  <c r="DZ8" i="8"/>
  <c r="C8" i="8" s="1"/>
  <c r="DY9" i="8"/>
  <c r="DZ9" i="8"/>
  <c r="C9" i="8" s="1"/>
  <c r="DY10" i="8"/>
  <c r="B10" i="8" s="1"/>
  <c r="DZ10" i="8"/>
  <c r="C10" i="8" s="1"/>
  <c r="DY11" i="8"/>
  <c r="B11" i="8" s="1"/>
  <c r="DZ11" i="8"/>
  <c r="C11" i="8" s="1"/>
  <c r="DY12" i="8"/>
  <c r="B12" i="8" s="1"/>
  <c r="DZ12" i="8"/>
  <c r="C12" i="8" s="1"/>
  <c r="DY13" i="8"/>
  <c r="DZ13" i="8"/>
  <c r="C13" i="8" s="1"/>
  <c r="DY14" i="8"/>
  <c r="B14" i="8" s="1"/>
  <c r="DZ14" i="8"/>
  <c r="C14" i="8" s="1"/>
  <c r="DY5" i="8"/>
  <c r="B5" i="8" s="1"/>
  <c r="DZ5" i="8"/>
  <c r="C5" i="8" s="1"/>
  <c r="D70" i="1"/>
  <c r="B70" i="1"/>
  <c r="BR6" i="7"/>
  <c r="BT6" i="7"/>
  <c r="BU6" i="7"/>
  <c r="BN7" i="7"/>
  <c r="BT7" i="7"/>
  <c r="BR8" i="7"/>
  <c r="BT8" i="7"/>
  <c r="BU8" i="7"/>
  <c r="BN9" i="7"/>
  <c r="BT9" i="7"/>
  <c r="BR10" i="7"/>
  <c r="BT10" i="7"/>
  <c r="BU10" i="7"/>
  <c r="BN11" i="7"/>
  <c r="BT11" i="7"/>
  <c r="BR12" i="7"/>
  <c r="BT12" i="7"/>
  <c r="BU12" i="7"/>
  <c r="BN13" i="7"/>
  <c r="BT13" i="7"/>
  <c r="BR14" i="7"/>
  <c r="BT14" i="7"/>
  <c r="BU14" i="7"/>
  <c r="BN15" i="7"/>
  <c r="BT15" i="7"/>
  <c r="BQ5" i="7"/>
  <c r="BO5" i="7"/>
  <c r="BN5" i="7"/>
  <c r="BL6" i="7"/>
  <c r="BO6" i="7" s="1"/>
  <c r="BM6" i="7"/>
  <c r="BS6" i="7" s="1"/>
  <c r="BL7" i="7"/>
  <c r="BO7" i="7" s="1"/>
  <c r="BM7" i="7"/>
  <c r="BS7" i="7" s="1"/>
  <c r="BL8" i="7"/>
  <c r="BO8" i="7" s="1"/>
  <c r="BM8" i="7"/>
  <c r="BS8" i="7" s="1"/>
  <c r="BL9" i="7"/>
  <c r="BO9" i="7" s="1"/>
  <c r="BM9" i="7"/>
  <c r="BS9" i="7" s="1"/>
  <c r="BL10" i="7"/>
  <c r="BO10" i="7" s="1"/>
  <c r="BM10" i="7"/>
  <c r="BS10" i="7" s="1"/>
  <c r="BL11" i="7"/>
  <c r="BO11" i="7" s="1"/>
  <c r="BM11" i="7"/>
  <c r="BS11" i="7" s="1"/>
  <c r="BL12" i="7"/>
  <c r="BO12" i="7" s="1"/>
  <c r="BM12" i="7"/>
  <c r="BS12" i="7" s="1"/>
  <c r="BL13" i="7"/>
  <c r="BO13" i="7" s="1"/>
  <c r="BM13" i="7"/>
  <c r="BS13" i="7" s="1"/>
  <c r="BL14" i="7"/>
  <c r="BO14" i="7" s="1"/>
  <c r="BM14" i="7"/>
  <c r="BS14" i="7" s="1"/>
  <c r="BL15" i="7"/>
  <c r="BO15" i="7" s="1"/>
  <c r="BM15" i="7"/>
  <c r="BS15" i="7" s="1"/>
  <c r="BM5" i="7"/>
  <c r="BT5" i="7" s="1"/>
  <c r="BL5" i="7"/>
  <c r="BP5" i="7" s="1"/>
  <c r="V6" i="6"/>
  <c r="W6" i="6"/>
  <c r="Z6" i="6"/>
  <c r="AA6" i="6"/>
  <c r="V7" i="6"/>
  <c r="V8" i="6"/>
  <c r="X8" i="6"/>
  <c r="Z8" i="6"/>
  <c r="AA8" i="6"/>
  <c r="W10" i="6"/>
  <c r="X10" i="6"/>
  <c r="Z10" i="6"/>
  <c r="AA10" i="6"/>
  <c r="V12" i="6"/>
  <c r="W12" i="6"/>
  <c r="X12" i="6"/>
  <c r="Z12" i="6"/>
  <c r="AA12" i="6"/>
  <c r="X13" i="6"/>
  <c r="V14" i="6"/>
  <c r="W14" i="6"/>
  <c r="Z14" i="6"/>
  <c r="AA14" i="6"/>
  <c r="AA5" i="6"/>
  <c r="Y5" i="6"/>
  <c r="X5" i="6"/>
  <c r="V5" i="6"/>
  <c r="T6" i="6"/>
  <c r="X6" i="6" s="1"/>
  <c r="U6" i="6"/>
  <c r="Y6" i="6" s="1"/>
  <c r="T7" i="6"/>
  <c r="W7" i="6" s="1"/>
  <c r="U7" i="6"/>
  <c r="AA7" i="6" s="1"/>
  <c r="T8" i="6"/>
  <c r="W8" i="6" s="1"/>
  <c r="U8" i="6"/>
  <c r="Y8" i="6" s="1"/>
  <c r="T9" i="6"/>
  <c r="W9" i="6" s="1"/>
  <c r="U9" i="6"/>
  <c r="AA9" i="6" s="1"/>
  <c r="T10" i="6"/>
  <c r="V10" i="6" s="1"/>
  <c r="U10" i="6"/>
  <c r="Y10" i="6" s="1"/>
  <c r="T11" i="6"/>
  <c r="W11" i="6" s="1"/>
  <c r="U11" i="6"/>
  <c r="AA11" i="6" s="1"/>
  <c r="T12" i="6"/>
  <c r="U12" i="6"/>
  <c r="Y12" i="6" s="1"/>
  <c r="T13" i="6"/>
  <c r="W13" i="6" s="1"/>
  <c r="U13" i="6"/>
  <c r="AA13" i="6" s="1"/>
  <c r="T14" i="6"/>
  <c r="X14" i="6" s="1"/>
  <c r="U14" i="6"/>
  <c r="Y14" i="6" s="1"/>
  <c r="U5" i="6"/>
  <c r="Z5" i="6" s="1"/>
  <c r="T5" i="6"/>
  <c r="W5" i="6" s="1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B15" i="6"/>
  <c r="C51" i="1"/>
  <c r="B51" i="1"/>
  <c r="Y35" i="5"/>
  <c r="Y36" i="5"/>
  <c r="Z36" i="5"/>
  <c r="AA36" i="5"/>
  <c r="Z39" i="5"/>
  <c r="Y40" i="5"/>
  <c r="Z40" i="5"/>
  <c r="AA40" i="5"/>
  <c r="Y43" i="5"/>
  <c r="Z43" i="5"/>
  <c r="Z34" i="5"/>
  <c r="Y34" i="5"/>
  <c r="X35" i="5"/>
  <c r="AA35" i="5" s="1"/>
  <c r="X36" i="5"/>
  <c r="X37" i="5"/>
  <c r="Y37" i="5" s="1"/>
  <c r="X38" i="5"/>
  <c r="Z38" i="5" s="1"/>
  <c r="X39" i="5"/>
  <c r="AA39" i="5" s="1"/>
  <c r="X40" i="5"/>
  <c r="X41" i="5"/>
  <c r="Y41" i="5" s="1"/>
  <c r="X42" i="5"/>
  <c r="Z42" i="5" s="1"/>
  <c r="X43" i="5"/>
  <c r="AA43" i="5" s="1"/>
  <c r="X34" i="5"/>
  <c r="AA34" i="5" s="1"/>
  <c r="C44" i="5"/>
  <c r="D44" i="5"/>
  <c r="E44" i="5"/>
  <c r="F44" i="5"/>
  <c r="G44" i="5"/>
  <c r="H44" i="5"/>
  <c r="Z44" i="5" s="1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B44" i="5"/>
  <c r="X44" i="5" s="1"/>
  <c r="AA44" i="5" s="1"/>
  <c r="G41" i="1"/>
  <c r="F41" i="1"/>
  <c r="C29" i="5"/>
  <c r="D29" i="5"/>
  <c r="E29" i="5"/>
  <c r="S29" i="5" s="1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B29" i="5"/>
  <c r="W21" i="5"/>
  <c r="T19" i="5"/>
  <c r="U19" i="5"/>
  <c r="S20" i="5"/>
  <c r="V20" i="5" s="1"/>
  <c r="S21" i="5"/>
  <c r="V21" i="5" s="1"/>
  <c r="S22" i="5"/>
  <c r="V22" i="5" s="1"/>
  <c r="S23" i="5"/>
  <c r="V23" i="5" s="1"/>
  <c r="S24" i="5"/>
  <c r="V24" i="5" s="1"/>
  <c r="S25" i="5"/>
  <c r="V25" i="5" s="1"/>
  <c r="S26" i="5"/>
  <c r="V26" i="5" s="1"/>
  <c r="S27" i="5"/>
  <c r="V27" i="5" s="1"/>
  <c r="S28" i="5"/>
  <c r="V28" i="5" s="1"/>
  <c r="S19" i="5"/>
  <c r="W19" i="5" s="1"/>
  <c r="C38" i="1"/>
  <c r="B38" i="1"/>
  <c r="C14" i="5"/>
  <c r="D14" i="5"/>
  <c r="E14" i="5"/>
  <c r="M14" i="5" s="1"/>
  <c r="F14" i="5"/>
  <c r="G14" i="5"/>
  <c r="N14" i="5" s="1"/>
  <c r="H14" i="5"/>
  <c r="I14" i="5"/>
  <c r="B14" i="5"/>
  <c r="J14" i="5" s="1"/>
  <c r="K14" i="5" s="1"/>
  <c r="K7" i="5"/>
  <c r="K12" i="5"/>
  <c r="N4" i="5"/>
  <c r="L4" i="5"/>
  <c r="K4" i="5"/>
  <c r="J5" i="5"/>
  <c r="L5" i="5" s="1"/>
  <c r="J6" i="5"/>
  <c r="L6" i="5" s="1"/>
  <c r="J7" i="5"/>
  <c r="L7" i="5" s="1"/>
  <c r="J8" i="5"/>
  <c r="L8" i="5" s="1"/>
  <c r="J9" i="5"/>
  <c r="L9" i="5" s="1"/>
  <c r="J10" i="5"/>
  <c r="L10" i="5" s="1"/>
  <c r="J11" i="5"/>
  <c r="L11" i="5" s="1"/>
  <c r="J12" i="5"/>
  <c r="L12" i="5" s="1"/>
  <c r="J13" i="5"/>
  <c r="L13" i="5" s="1"/>
  <c r="J4" i="5"/>
  <c r="M4" i="5" s="1"/>
  <c r="C62" i="4"/>
  <c r="D62" i="4"/>
  <c r="E62" i="4"/>
  <c r="F62" i="4"/>
  <c r="G62" i="4"/>
  <c r="H62" i="4"/>
  <c r="I62" i="4"/>
  <c r="J62" i="4"/>
  <c r="K62" i="4"/>
  <c r="B62" i="4"/>
  <c r="G29" i="1"/>
  <c r="F29" i="1"/>
  <c r="C46" i="4"/>
  <c r="D46" i="4"/>
  <c r="E46" i="4"/>
  <c r="F46" i="4"/>
  <c r="G46" i="4"/>
  <c r="H46" i="4"/>
  <c r="I46" i="4"/>
  <c r="J46" i="4"/>
  <c r="K46" i="4"/>
  <c r="L46" i="4"/>
  <c r="M46" i="4"/>
  <c r="N46" i="4"/>
  <c r="Z46" i="4" s="1"/>
  <c r="AC46" i="4" s="1"/>
  <c r="O46" i="4"/>
  <c r="P46" i="4"/>
  <c r="Q46" i="4"/>
  <c r="R46" i="4"/>
  <c r="S46" i="4"/>
  <c r="T46" i="4"/>
  <c r="U46" i="4"/>
  <c r="V46" i="4"/>
  <c r="W46" i="4"/>
  <c r="X46" i="4"/>
  <c r="Y46" i="4"/>
  <c r="B46" i="4"/>
  <c r="AC41" i="4"/>
  <c r="AD44" i="4"/>
  <c r="AB45" i="4"/>
  <c r="AC36" i="4"/>
  <c r="Z37" i="4"/>
  <c r="AD37" i="4" s="1"/>
  <c r="Z38" i="4"/>
  <c r="AB38" i="4" s="1"/>
  <c r="Z39" i="4"/>
  <c r="AB39" i="4" s="1"/>
  <c r="Z40" i="4"/>
  <c r="AC40" i="4" s="1"/>
  <c r="Z41" i="4"/>
  <c r="AD41" i="4" s="1"/>
  <c r="Z42" i="4"/>
  <c r="AB42" i="4" s="1"/>
  <c r="Z43" i="4"/>
  <c r="AB43" i="4" s="1"/>
  <c r="Z44" i="4"/>
  <c r="AC44" i="4" s="1"/>
  <c r="Z45" i="4"/>
  <c r="AD45" i="4" s="1"/>
  <c r="Z36" i="4"/>
  <c r="AB36" i="4" s="1"/>
  <c r="C30" i="4"/>
  <c r="D30" i="4"/>
  <c r="E30" i="4"/>
  <c r="F30" i="4"/>
  <c r="G30" i="4"/>
  <c r="H30" i="4"/>
  <c r="I30" i="4"/>
  <c r="R30" i="4" s="1"/>
  <c r="J30" i="4"/>
  <c r="K30" i="4"/>
  <c r="L30" i="4"/>
  <c r="M30" i="4"/>
  <c r="N30" i="4"/>
  <c r="O30" i="4"/>
  <c r="P30" i="4"/>
  <c r="B30" i="4"/>
  <c r="Q30" i="4" s="1"/>
  <c r="S30" i="4" s="1"/>
  <c r="Q21" i="4"/>
  <c r="S21" i="4" s="1"/>
  <c r="R21" i="4"/>
  <c r="V21" i="4" s="1"/>
  <c r="W21" i="4"/>
  <c r="X21" i="4"/>
  <c r="Q22" i="4"/>
  <c r="S22" i="4" s="1"/>
  <c r="R22" i="4"/>
  <c r="V22" i="4" s="1"/>
  <c r="U22" i="4"/>
  <c r="X22" i="4"/>
  <c r="Q23" i="4"/>
  <c r="S23" i="4" s="1"/>
  <c r="R23" i="4"/>
  <c r="W23" i="4" s="1"/>
  <c r="V23" i="4"/>
  <c r="X23" i="4"/>
  <c r="Q24" i="4"/>
  <c r="S24" i="4" s="1"/>
  <c r="R24" i="4"/>
  <c r="W24" i="4" s="1"/>
  <c r="U24" i="4"/>
  <c r="Q25" i="4"/>
  <c r="S25" i="4" s="1"/>
  <c r="R25" i="4"/>
  <c r="W25" i="4" s="1"/>
  <c r="Q26" i="4"/>
  <c r="S26" i="4" s="1"/>
  <c r="R26" i="4"/>
  <c r="W26" i="4" s="1"/>
  <c r="Q27" i="4"/>
  <c r="S27" i="4" s="1"/>
  <c r="R27" i="4"/>
  <c r="W27" i="4" s="1"/>
  <c r="Q28" i="4"/>
  <c r="S28" i="4" s="1"/>
  <c r="R28" i="4"/>
  <c r="W28" i="4" s="1"/>
  <c r="Q29" i="4"/>
  <c r="S29" i="4" s="1"/>
  <c r="R29" i="4"/>
  <c r="W29" i="4" s="1"/>
  <c r="R20" i="4"/>
  <c r="X20" i="4" s="1"/>
  <c r="Q20" i="4"/>
  <c r="T20" i="4" s="1"/>
  <c r="D22" i="1"/>
  <c r="B22" i="1"/>
  <c r="I15" i="3"/>
  <c r="L15" i="3" s="1"/>
  <c r="C15" i="3"/>
  <c r="D15" i="3"/>
  <c r="E15" i="3"/>
  <c r="F15" i="3"/>
  <c r="M15" i="3" s="1"/>
  <c r="G15" i="3"/>
  <c r="B15" i="3"/>
  <c r="H15" i="3" s="1"/>
  <c r="J15" i="3" s="1"/>
  <c r="E14" i="1"/>
  <c r="C14" i="1"/>
  <c r="J6" i="3"/>
  <c r="K6" i="3"/>
  <c r="M7" i="3"/>
  <c r="J8" i="3"/>
  <c r="K8" i="3"/>
  <c r="M9" i="3"/>
  <c r="J10" i="3"/>
  <c r="K10" i="3"/>
  <c r="M11" i="3"/>
  <c r="J12" i="3"/>
  <c r="K12" i="3"/>
  <c r="M13" i="3"/>
  <c r="J14" i="3"/>
  <c r="K14" i="3"/>
  <c r="H6" i="3"/>
  <c r="I6" i="3"/>
  <c r="L6" i="3" s="1"/>
  <c r="H7" i="3"/>
  <c r="J7" i="3" s="1"/>
  <c r="I7" i="3"/>
  <c r="L7" i="3" s="1"/>
  <c r="H8" i="3"/>
  <c r="I8" i="3"/>
  <c r="L8" i="3" s="1"/>
  <c r="H9" i="3"/>
  <c r="J9" i="3" s="1"/>
  <c r="I9" i="3"/>
  <c r="L9" i="3" s="1"/>
  <c r="H10" i="3"/>
  <c r="I10" i="3"/>
  <c r="L10" i="3" s="1"/>
  <c r="H11" i="3"/>
  <c r="J11" i="3" s="1"/>
  <c r="I11" i="3"/>
  <c r="L11" i="3" s="1"/>
  <c r="H12" i="3"/>
  <c r="I12" i="3"/>
  <c r="L12" i="3" s="1"/>
  <c r="H13" i="3"/>
  <c r="J13" i="3" s="1"/>
  <c r="I13" i="3"/>
  <c r="L13" i="3" s="1"/>
  <c r="H14" i="3"/>
  <c r="I14" i="3"/>
  <c r="L14" i="3" s="1"/>
  <c r="I5" i="3"/>
  <c r="M5" i="3" s="1"/>
  <c r="H5" i="3"/>
  <c r="K5" i="3" s="1"/>
  <c r="D6" i="1"/>
  <c r="C6" i="1"/>
  <c r="G5" i="19"/>
  <c r="H5" i="19"/>
  <c r="I5" i="19"/>
  <c r="G6" i="19"/>
  <c r="H6" i="19"/>
  <c r="I6" i="19"/>
  <c r="G7" i="19"/>
  <c r="H7" i="19"/>
  <c r="I7" i="19"/>
  <c r="G8" i="19"/>
  <c r="H8" i="19"/>
  <c r="I8" i="19"/>
  <c r="G9" i="19"/>
  <c r="H9" i="19"/>
  <c r="I9" i="19"/>
  <c r="G10" i="19"/>
  <c r="H10" i="19"/>
  <c r="I10" i="19"/>
  <c r="G11" i="19"/>
  <c r="H11" i="19"/>
  <c r="I11" i="19"/>
  <c r="G12" i="19"/>
  <c r="H12" i="19"/>
  <c r="I12" i="19"/>
  <c r="G13" i="19"/>
  <c r="H13" i="19"/>
  <c r="I13" i="19"/>
  <c r="G14" i="19"/>
  <c r="H14" i="19"/>
  <c r="I14" i="19"/>
  <c r="G15" i="19"/>
  <c r="H15" i="19"/>
  <c r="I15" i="19"/>
  <c r="G16" i="19"/>
  <c r="H16" i="19"/>
  <c r="I16" i="19"/>
  <c r="I4" i="19"/>
  <c r="H4" i="19"/>
  <c r="G4" i="19"/>
  <c r="D21" i="19"/>
  <c r="F21" i="19" s="1"/>
  <c r="C9" i="1" l="1"/>
  <c r="C13" i="1"/>
  <c r="D13" i="1"/>
  <c r="D9" i="1"/>
  <c r="F122" i="1"/>
  <c r="F121" i="1"/>
  <c r="G122" i="1"/>
  <c r="G121" i="1"/>
  <c r="D67" i="1"/>
  <c r="D66" i="1"/>
  <c r="E75" i="1"/>
  <c r="E74" i="1"/>
  <c r="E73" i="1"/>
  <c r="E72" i="1"/>
  <c r="D75" i="1"/>
  <c r="D74" i="1"/>
  <c r="D73" i="1"/>
  <c r="D72" i="1"/>
  <c r="D91" i="1"/>
  <c r="D90" i="1"/>
  <c r="C42" i="1"/>
  <c r="C40" i="1"/>
  <c r="C39" i="1"/>
  <c r="C41" i="1"/>
  <c r="D86" i="1"/>
  <c r="D85" i="1"/>
  <c r="B53" i="1"/>
  <c r="B54" i="1"/>
  <c r="B52" i="1"/>
  <c r="C86" i="1"/>
  <c r="C85" i="1"/>
  <c r="B42" i="1"/>
  <c r="B40" i="1"/>
  <c r="B39" i="1"/>
  <c r="B41" i="1"/>
  <c r="C53" i="1"/>
  <c r="C52" i="1"/>
  <c r="C54" i="1"/>
  <c r="B75" i="1"/>
  <c r="B72" i="1"/>
  <c r="B74" i="1"/>
  <c r="C75" i="1"/>
  <c r="C74" i="1"/>
  <c r="C73" i="1"/>
  <c r="C72" i="1"/>
  <c r="B73" i="1"/>
  <c r="C91" i="1"/>
  <c r="C90" i="1"/>
  <c r="C67" i="1"/>
  <c r="C66" i="1"/>
  <c r="D7" i="8"/>
  <c r="D6" i="8"/>
  <c r="D14" i="8"/>
  <c r="G45" i="1"/>
  <c r="G43" i="1"/>
  <c r="G44" i="1"/>
  <c r="G42" i="1"/>
  <c r="F44" i="1"/>
  <c r="F45" i="1"/>
  <c r="F43" i="1"/>
  <c r="F42" i="1"/>
  <c r="K8" i="5"/>
  <c r="T26" i="5"/>
  <c r="T24" i="5"/>
  <c r="U20" i="5"/>
  <c r="U28" i="5"/>
  <c r="W24" i="5"/>
  <c r="T28" i="5"/>
  <c r="U24" i="5"/>
  <c r="W20" i="5"/>
  <c r="N7" i="5"/>
  <c r="W28" i="5"/>
  <c r="W25" i="5"/>
  <c r="T22" i="5"/>
  <c r="T20" i="5"/>
  <c r="N10" i="5"/>
  <c r="K6" i="5"/>
  <c r="M10" i="5"/>
  <c r="N11" i="5"/>
  <c r="K10" i="5"/>
  <c r="N6" i="5"/>
  <c r="K11" i="5"/>
  <c r="M6" i="5"/>
  <c r="C26" i="1"/>
  <c r="C25" i="1"/>
  <c r="C24" i="1"/>
  <c r="B26" i="1"/>
  <c r="B25" i="1"/>
  <c r="B24" i="1"/>
  <c r="G32" i="1"/>
  <c r="G30" i="1"/>
  <c r="G31" i="1"/>
  <c r="D26" i="1"/>
  <c r="D25" i="1"/>
  <c r="D24" i="1"/>
  <c r="E25" i="1"/>
  <c r="E26" i="1"/>
  <c r="E24" i="1"/>
  <c r="F32" i="1"/>
  <c r="F30" i="1"/>
  <c r="F31" i="1"/>
  <c r="AD38" i="4"/>
  <c r="AC37" i="4"/>
  <c r="AB44" i="4"/>
  <c r="AD40" i="4"/>
  <c r="AB37" i="4"/>
  <c r="AB41" i="4"/>
  <c r="AC45" i="4"/>
  <c r="AD42" i="4"/>
  <c r="AB40" i="4"/>
  <c r="X26" i="4"/>
  <c r="U28" i="4"/>
  <c r="X27" i="4"/>
  <c r="U26" i="4"/>
  <c r="X25" i="4"/>
  <c r="U23" i="4"/>
  <c r="W22" i="4"/>
  <c r="U21" i="4"/>
  <c r="T28" i="4"/>
  <c r="T26" i="4"/>
  <c r="C12" i="1"/>
  <c r="C7" i="1"/>
  <c r="C8" i="1"/>
  <c r="C11" i="1"/>
  <c r="C10" i="1"/>
  <c r="D12" i="1"/>
  <c r="D8" i="1"/>
  <c r="D11" i="1"/>
  <c r="D7" i="1"/>
  <c r="D10" i="1"/>
  <c r="F17" i="1"/>
  <c r="F16" i="1"/>
  <c r="E17" i="1"/>
  <c r="E16" i="1"/>
  <c r="L5" i="3"/>
  <c r="K13" i="3"/>
  <c r="K11" i="3"/>
  <c r="K9" i="3"/>
  <c r="K7" i="3"/>
  <c r="K15" i="3"/>
  <c r="V15" i="6"/>
  <c r="Y15" i="6"/>
  <c r="L15" i="12"/>
  <c r="W30" i="4"/>
  <c r="X30" i="4"/>
  <c r="V30" i="4"/>
  <c r="T29" i="5"/>
  <c r="W29" i="5"/>
  <c r="V29" i="5"/>
  <c r="T30" i="4"/>
  <c r="AB46" i="4"/>
  <c r="K5" i="5"/>
  <c r="Y42" i="5"/>
  <c r="U15" i="6"/>
  <c r="Z15" i="6" s="1"/>
  <c r="Z9" i="6"/>
  <c r="BR5" i="7"/>
  <c r="BQ14" i="7"/>
  <c r="BQ10" i="7"/>
  <c r="BQ6" i="7"/>
  <c r="V29" i="4"/>
  <c r="T21" i="4"/>
  <c r="AD36" i="4"/>
  <c r="AD39" i="4"/>
  <c r="N12" i="5"/>
  <c r="N8" i="5"/>
  <c r="N5" i="5"/>
  <c r="AA41" i="5"/>
  <c r="Y38" i="5"/>
  <c r="X11" i="6"/>
  <c r="Y9" i="6"/>
  <c r="Z7" i="6"/>
  <c r="BR15" i="7"/>
  <c r="BP14" i="7"/>
  <c r="BR13" i="7"/>
  <c r="BP12" i="7"/>
  <c r="BR9" i="7"/>
  <c r="BP8" i="7"/>
  <c r="L105" i="1"/>
  <c r="D105" i="1"/>
  <c r="E103" i="1"/>
  <c r="D103" i="1"/>
  <c r="E105" i="1"/>
  <c r="U20" i="4"/>
  <c r="V24" i="4"/>
  <c r="K13" i="5"/>
  <c r="K9" i="5"/>
  <c r="U27" i="5"/>
  <c r="U23" i="5"/>
  <c r="Y44" i="5"/>
  <c r="AA38" i="5"/>
  <c r="Y11" i="6"/>
  <c r="V27" i="4"/>
  <c r="T22" i="4"/>
  <c r="AC42" i="4"/>
  <c r="AC38" i="4"/>
  <c r="N13" i="5"/>
  <c r="N9" i="5"/>
  <c r="T23" i="5"/>
  <c r="T15" i="6"/>
  <c r="X15" i="6" s="1"/>
  <c r="B6" i="8"/>
  <c r="D12" i="8"/>
  <c r="M14" i="3"/>
  <c r="M12" i="3"/>
  <c r="M8" i="3"/>
  <c r="M6" i="3"/>
  <c r="W20" i="4"/>
  <c r="X28" i="4"/>
  <c r="U27" i="4"/>
  <c r="X24" i="4"/>
  <c r="T24" i="4"/>
  <c r="U30" i="4"/>
  <c r="AC43" i="4"/>
  <c r="M11" i="5"/>
  <c r="M8" i="5"/>
  <c r="M5" i="5"/>
  <c r="Z41" i="5"/>
  <c r="AA37" i="5"/>
  <c r="Z13" i="6"/>
  <c r="V11" i="6"/>
  <c r="X9" i="6"/>
  <c r="BU5" i="7"/>
  <c r="BQ15" i="7"/>
  <c r="BN14" i="7"/>
  <c r="BQ13" i="7"/>
  <c r="BN12" i="7"/>
  <c r="BQ11" i="7"/>
  <c r="BN10" i="7"/>
  <c r="BQ9" i="7"/>
  <c r="BN8" i="7"/>
  <c r="BQ7" i="7"/>
  <c r="BN6" i="7"/>
  <c r="DY15" i="8"/>
  <c r="B15" i="8" s="1"/>
  <c r="D5" i="8"/>
  <c r="D11" i="8"/>
  <c r="P31" i="8"/>
  <c r="Q31" i="8" s="1"/>
  <c r="H103" i="1"/>
  <c r="I105" i="1"/>
  <c r="X29" i="4"/>
  <c r="BQ12" i="7"/>
  <c r="BQ8" i="7"/>
  <c r="DZ15" i="8"/>
  <c r="C15" i="8" s="1"/>
  <c r="V20" i="4"/>
  <c r="V25" i="4"/>
  <c r="T23" i="4"/>
  <c r="AD43" i="4"/>
  <c r="T27" i="5"/>
  <c r="AA15" i="6"/>
  <c r="V13" i="6"/>
  <c r="BS5" i="7"/>
  <c r="BR11" i="7"/>
  <c r="BP10" i="7"/>
  <c r="BR7" i="7"/>
  <c r="BP6" i="7"/>
  <c r="M10" i="3"/>
  <c r="S20" i="4"/>
  <c r="U29" i="4"/>
  <c r="U25" i="4"/>
  <c r="AC39" i="4"/>
  <c r="AD46" i="4"/>
  <c r="M13" i="5"/>
  <c r="M12" i="5"/>
  <c r="M9" i="5"/>
  <c r="M7" i="5"/>
  <c r="V19" i="5"/>
  <c r="W26" i="5"/>
  <c r="U25" i="5"/>
  <c r="W22" i="5"/>
  <c r="U21" i="5"/>
  <c r="Y7" i="6"/>
  <c r="J5" i="3"/>
  <c r="C16" i="1" s="1"/>
  <c r="T29" i="4"/>
  <c r="V28" i="4"/>
  <c r="T27" i="4"/>
  <c r="V26" i="4"/>
  <c r="T25" i="4"/>
  <c r="W27" i="5"/>
  <c r="U26" i="5"/>
  <c r="T25" i="5"/>
  <c r="W23" i="5"/>
  <c r="U22" i="5"/>
  <c r="T21" i="5"/>
  <c r="AA42" i="5"/>
  <c r="Y39" i="5"/>
  <c r="Z37" i="5"/>
  <c r="Z35" i="5"/>
  <c r="Y13" i="6"/>
  <c r="Z11" i="6"/>
  <c r="V9" i="6"/>
  <c r="X7" i="6"/>
  <c r="BU15" i="7"/>
  <c r="BP15" i="7"/>
  <c r="BU13" i="7"/>
  <c r="BP13" i="7"/>
  <c r="BU11" i="7"/>
  <c r="BP11" i="7"/>
  <c r="BU9" i="7"/>
  <c r="BP9" i="7"/>
  <c r="BU7" i="7"/>
  <c r="BP7" i="7"/>
  <c r="B13" i="8"/>
  <c r="D13" i="8"/>
  <c r="B9" i="8"/>
  <c r="D9" i="8"/>
  <c r="D10" i="8"/>
  <c r="M15" i="12"/>
  <c r="I103" i="1"/>
  <c r="K256" i="9"/>
  <c r="I256" i="9"/>
  <c r="G256" i="9"/>
  <c r="E256" i="9"/>
  <c r="C256" i="9"/>
  <c r="J256" i="9"/>
  <c r="H256" i="9"/>
  <c r="F256" i="9"/>
  <c r="D256" i="9"/>
  <c r="B256" i="9"/>
  <c r="E104" i="1"/>
  <c r="E106" i="1"/>
  <c r="C17" i="1"/>
  <c r="F103" i="1"/>
  <c r="J103" i="1"/>
  <c r="I104" i="1"/>
  <c r="F105" i="1"/>
  <c r="J105" i="1"/>
  <c r="I106" i="1"/>
  <c r="C103" i="1"/>
  <c r="G103" i="1"/>
  <c r="K103" i="1"/>
  <c r="C105" i="1"/>
  <c r="G105" i="1"/>
  <c r="K105" i="1"/>
  <c r="H105" i="1"/>
  <c r="F104" i="1"/>
  <c r="J104" i="1"/>
  <c r="F106" i="1"/>
  <c r="J106" i="1"/>
  <c r="C104" i="1"/>
  <c r="G104" i="1"/>
  <c r="K104" i="1"/>
  <c r="C106" i="1"/>
  <c r="G106" i="1"/>
  <c r="K106" i="1"/>
  <c r="D104" i="1"/>
  <c r="H104" i="1"/>
  <c r="D106" i="1"/>
  <c r="H106" i="1"/>
  <c r="U29" i="5"/>
  <c r="L14" i="5"/>
  <c r="D16" i="1"/>
  <c r="D17" i="1"/>
  <c r="D15" i="8" l="1"/>
  <c r="W15" i="6"/>
</calcChain>
</file>

<file path=xl/sharedStrings.xml><?xml version="1.0" encoding="utf-8"?>
<sst xmlns="http://schemas.openxmlformats.org/spreadsheetml/2006/main" count="1546" uniqueCount="763">
  <si>
    <t>Education</t>
  </si>
  <si>
    <t>Employment</t>
  </si>
  <si>
    <t>Living arrangements</t>
  </si>
  <si>
    <t>Cardinia (S)</t>
  </si>
  <si>
    <t>18-24</t>
  </si>
  <si>
    <t>Total</t>
  </si>
  <si>
    <t>12-17</t>
  </si>
  <si>
    <t>Cardinia</t>
  </si>
  <si>
    <t>Casey</t>
  </si>
  <si>
    <t>Hume</t>
  </si>
  <si>
    <t>Melton</t>
  </si>
  <si>
    <t>Mitchell</t>
  </si>
  <si>
    <t>Mornington Peninsula</t>
  </si>
  <si>
    <t>Nillumbik</t>
  </si>
  <si>
    <t>Whittlesea</t>
  </si>
  <si>
    <t>Wyndham</t>
  </si>
  <si>
    <t>Yarra Ranges</t>
  </si>
  <si>
    <t>Male</t>
  </si>
  <si>
    <t>Female</t>
  </si>
  <si>
    <t>Postgraduate Degree Level</t>
  </si>
  <si>
    <t>Graduate Diploma and Graduate Certificate Level</t>
  </si>
  <si>
    <t>Bachelor Degree Level</t>
  </si>
  <si>
    <t>Advanced Diploma and Diploma Level</t>
  </si>
  <si>
    <t>Certificate III &amp; IV Level</t>
  </si>
  <si>
    <t>Secondary Education - Years 10 and above</t>
  </si>
  <si>
    <t>Certificate I &amp; II Level</t>
  </si>
  <si>
    <t>Secondary Education - Years 9 and below</t>
  </si>
  <si>
    <t>Supplementary Codes</t>
  </si>
  <si>
    <t>Not stated</t>
  </si>
  <si>
    <t>Not applicable</t>
  </si>
  <si>
    <t>HEAP - Highest Educational Attainment</t>
  </si>
  <si>
    <t>STUP - Student status</t>
  </si>
  <si>
    <t>Not attending</t>
  </si>
  <si>
    <t>Full-time student</t>
  </si>
  <si>
    <t>Part-time student</t>
  </si>
  <si>
    <t>Institution (TYPP) stated, full-time/part-time status (STUP) not stated</t>
  </si>
  <si>
    <t>Both not stated - both institution (TYPP) and full-time/part-time status (STUP) not stated</t>
  </si>
  <si>
    <t>Preschool</t>
  </si>
  <si>
    <t>Infants/Primary - Government</t>
  </si>
  <si>
    <t>Infants/Primary - Catholic</t>
  </si>
  <si>
    <t>Infants/Primary - Other Non Government</t>
  </si>
  <si>
    <t>Secondary - Government</t>
  </si>
  <si>
    <t>Secondary - Catholic</t>
  </si>
  <si>
    <t>Secondary - Other Non Government</t>
  </si>
  <si>
    <t>Technical or Further Educational Institution (including TAFE Colleges)</t>
  </si>
  <si>
    <t>University or other Tertiary Institution</t>
  </si>
  <si>
    <t>Other</t>
  </si>
  <si>
    <t>TYPP Type of Educational Institution Attending</t>
  </si>
  <si>
    <t>Fully engaged</t>
  </si>
  <si>
    <t>Partially engaged</t>
  </si>
  <si>
    <t>At least partially engaged</t>
  </si>
  <si>
    <t>Not Engaged</t>
  </si>
  <si>
    <t>Engagement status undetermined/Not Stated</t>
  </si>
  <si>
    <t>EETP Engagement in Employment, Education and Training</t>
  </si>
  <si>
    <t>Employed, worked full-time</t>
  </si>
  <si>
    <t>Employed, worked part-time</t>
  </si>
  <si>
    <t>Employed, away from work</t>
  </si>
  <si>
    <t>Unemployed, looking for full-time work</t>
  </si>
  <si>
    <t>Unemployed, looking for part-time work</t>
  </si>
  <si>
    <t>Not in the labour force</t>
  </si>
  <si>
    <t>LFSP Labour Force Status</t>
  </si>
  <si>
    <t>Negative income</t>
  </si>
  <si>
    <t>Nil income</t>
  </si>
  <si>
    <t>$1-$149 ($1-$7,799)</t>
  </si>
  <si>
    <t>$150-$299 ($7,800-$15,599)</t>
  </si>
  <si>
    <t>$300-$399 ($15,600-$20,799)</t>
  </si>
  <si>
    <t>$400-$499 ($20,800-$25,999)</t>
  </si>
  <si>
    <t>$500-$649 ($26,000-$33,799)</t>
  </si>
  <si>
    <t>$650-$799 ($33,800-$41,599)</t>
  </si>
  <si>
    <t>$800-$999 ($41,600-$51,999)</t>
  </si>
  <si>
    <t>$1,000-$1,249 ($52,000-$64,999)</t>
  </si>
  <si>
    <t>$1,250-$1,499 ($65,000-$77,999)</t>
  </si>
  <si>
    <t>$1,500-$1,749 ($78,000-$90,999)</t>
  </si>
  <si>
    <t>$1,750-$1,999 ($91,000-$103,999)</t>
  </si>
  <si>
    <t>$2,000-$2,999 ($104,000-$155,999)</t>
  </si>
  <si>
    <t>$3,000 or more ($156,000 or more)</t>
  </si>
  <si>
    <t>INCP Total Personal Income (weekly)</t>
  </si>
  <si>
    <t>15-24 year olds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</si>
  <si>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</si>
  <si>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</si>
  <si>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</si>
  <si>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</si>
  <si>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</si>
  <si>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</si>
  <si>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</si>
  <si>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</si>
  <si>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</si>
  <si>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</si>
  <si>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</si>
  <si>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</si>
  <si>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</si>
  <si>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</si>
  <si>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</si>
  <si>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</si>
  <si>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</si>
  <si>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</si>
  <si>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</si>
  <si>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Inadequately described</t>
  </si>
  <si>
    <t>INDP Industry of Employment</t>
  </si>
  <si>
    <t>Train</t>
  </si>
  <si>
    <t>Bus</t>
  </si>
  <si>
    <t>Ferry</t>
  </si>
  <si>
    <t>Tram</t>
  </si>
  <si>
    <t>Taxi</t>
  </si>
  <si>
    <t>Car, as driver</t>
  </si>
  <si>
    <t>Car, as passenger</t>
  </si>
  <si>
    <t>Truck</t>
  </si>
  <si>
    <t>Motorbike/scooter</t>
  </si>
  <si>
    <t>Bicycle</t>
  </si>
  <si>
    <t>Train, bus</t>
  </si>
  <si>
    <t>Train, ferry</t>
  </si>
  <si>
    <t>Train, tram</t>
  </si>
  <si>
    <t>Train, taxi</t>
  </si>
  <si>
    <t>Train, car as driver</t>
  </si>
  <si>
    <t>Train, car as passenger</t>
  </si>
  <si>
    <t>Train, truck</t>
  </si>
  <si>
    <t>Train, motorbike/scooter</t>
  </si>
  <si>
    <t>Train, bicycle</t>
  </si>
  <si>
    <t>Train, other</t>
  </si>
  <si>
    <t>Bus, ferry</t>
  </si>
  <si>
    <t>Bus, tram</t>
  </si>
  <si>
    <t>Bus, taxi</t>
  </si>
  <si>
    <t>Bus, car as driver</t>
  </si>
  <si>
    <t>Bus, car as passenger</t>
  </si>
  <si>
    <t>Bus, truck</t>
  </si>
  <si>
    <t>Bus, motorbike/scooter</t>
  </si>
  <si>
    <t>Bus, bicycle</t>
  </si>
  <si>
    <t>Bus, other</t>
  </si>
  <si>
    <t>Ferry, tram</t>
  </si>
  <si>
    <t>Ferry, taxi</t>
  </si>
  <si>
    <t>Ferry, car as driver</t>
  </si>
  <si>
    <t>Ferry, car as passenger</t>
  </si>
  <si>
    <t>Ferry, truck</t>
  </si>
  <si>
    <t>Ferry, motorbike/scooter</t>
  </si>
  <si>
    <t>Ferry, bicycle</t>
  </si>
  <si>
    <t>Ferry, other</t>
  </si>
  <si>
    <t>Tram, taxi</t>
  </si>
  <si>
    <t>Tram, car as driver</t>
  </si>
  <si>
    <t>Tram, car as passenger</t>
  </si>
  <si>
    <t>Tram, truck</t>
  </si>
  <si>
    <t>Tram, motorbike/scooter</t>
  </si>
  <si>
    <t>Tram, bicycle</t>
  </si>
  <si>
    <t>Tram, other</t>
  </si>
  <si>
    <t>Taxi, car as driver</t>
  </si>
  <si>
    <t>Taxi, car as passenger</t>
  </si>
  <si>
    <t>Taxi, truck</t>
  </si>
  <si>
    <t>Taxi, motorbike/scooter</t>
  </si>
  <si>
    <t>Taxi, bicycle</t>
  </si>
  <si>
    <t>Taxi, other</t>
  </si>
  <si>
    <t>Car as driver, car as passenger</t>
  </si>
  <si>
    <t>Car as driver, truck</t>
  </si>
  <si>
    <t>Car as driver, motorbike/scooter</t>
  </si>
  <si>
    <t>Car as driver, bicycle</t>
  </si>
  <si>
    <t>Car as driver, other</t>
  </si>
  <si>
    <t>Car as passenger, truck</t>
  </si>
  <si>
    <t>Car as passenger, motorbike/scooter</t>
  </si>
  <si>
    <t>Car as passenger, bicycle</t>
  </si>
  <si>
    <t>Car as passenger, other</t>
  </si>
  <si>
    <t>Truck, motorbike/scooter</t>
  </si>
  <si>
    <t>Truck, bicycle</t>
  </si>
  <si>
    <t>Truck, other</t>
  </si>
  <si>
    <t>Motorbike/scooter, bicycle</t>
  </si>
  <si>
    <t>Motorbike/scooter, other</t>
  </si>
  <si>
    <t>Bicycle, other</t>
  </si>
  <si>
    <t>Train, bus, ferry</t>
  </si>
  <si>
    <t>Train, bus, tram</t>
  </si>
  <si>
    <t>Train, bus, taxi</t>
  </si>
  <si>
    <t>Train, bus, car as driver</t>
  </si>
  <si>
    <t>Train, bus, car as passenger</t>
  </si>
  <si>
    <t>Train, bus, truck</t>
  </si>
  <si>
    <t>Train, bus, motorbike/scooter</t>
  </si>
  <si>
    <t>Train, bus, bicycle</t>
  </si>
  <si>
    <t>Train, bus, other</t>
  </si>
  <si>
    <t>Train, ferry, tram</t>
  </si>
  <si>
    <t>Train, ferry, taxi</t>
  </si>
  <si>
    <t>Train, ferry, car as driver</t>
  </si>
  <si>
    <t>Train, ferry, car as passenger</t>
  </si>
  <si>
    <t>Train, ferry, truck</t>
  </si>
  <si>
    <t>Train, ferry, motorbike/scooter</t>
  </si>
  <si>
    <t>Train, ferry, bicycle</t>
  </si>
  <si>
    <t>Train, ferry, other</t>
  </si>
  <si>
    <t>Train, tram, taxi</t>
  </si>
  <si>
    <t>Train, tram, car as driver</t>
  </si>
  <si>
    <t>Train, tram, car as passenger</t>
  </si>
  <si>
    <t>Train, tram, truck</t>
  </si>
  <si>
    <t>Train, tram, motorbike/scooter</t>
  </si>
  <si>
    <t>Train, tram, bicycle</t>
  </si>
  <si>
    <t>Train, tram, other</t>
  </si>
  <si>
    <t>Train, taxi, car as driver</t>
  </si>
  <si>
    <t>Train, taxi, car as passenger</t>
  </si>
  <si>
    <t>Train, taxi, truck</t>
  </si>
  <si>
    <t>Train, taxi, motorbike/scooter</t>
  </si>
  <si>
    <t>Train, taxi, bicycle</t>
  </si>
  <si>
    <t>Train, taxi, other</t>
  </si>
  <si>
    <t>Train, car as driver, car as passenger</t>
  </si>
  <si>
    <t>Train, car as driver, truck</t>
  </si>
  <si>
    <t>Train, car as driver, motorbike/scooter</t>
  </si>
  <si>
    <t>Train, car as driver, bicycle</t>
  </si>
  <si>
    <t>Train, car as driver, other</t>
  </si>
  <si>
    <t>Train, car as passenger, truck</t>
  </si>
  <si>
    <t>Train, car as passenger, motorbike/scooter</t>
  </si>
  <si>
    <t>Train, car as passenger, bicycle</t>
  </si>
  <si>
    <t>Train, car as passenger, other</t>
  </si>
  <si>
    <t>Train, truck, motorbike/scooter</t>
  </si>
  <si>
    <t>Train, truck, bicycle</t>
  </si>
  <si>
    <t>Train, truck, other</t>
  </si>
  <si>
    <t>Train, motorbike/scooter, bicycle</t>
  </si>
  <si>
    <t>Train, motorbike/scooter, other</t>
  </si>
  <si>
    <t>Train, bicycle, other</t>
  </si>
  <si>
    <t>Bus, ferry, tram</t>
  </si>
  <si>
    <t>Bus, ferry, taxi</t>
  </si>
  <si>
    <t>Bus, ferry, car as driver</t>
  </si>
  <si>
    <t>Bus, ferry, car as passenger</t>
  </si>
  <si>
    <t>Bus, ferry, truck</t>
  </si>
  <si>
    <t>Bus, ferry, motorbike/scooter</t>
  </si>
  <si>
    <t>Bus, ferry, bicycle</t>
  </si>
  <si>
    <t>Bus, ferry, other</t>
  </si>
  <si>
    <t>Bus, tram, taxi</t>
  </si>
  <si>
    <t>Bus, tram, car as driver</t>
  </si>
  <si>
    <t>Bus, tram, car as passenger</t>
  </si>
  <si>
    <t>Bus, tram, truck</t>
  </si>
  <si>
    <t>Bus, tram, motorbike/scooter</t>
  </si>
  <si>
    <t>Bus, tram, bicycle</t>
  </si>
  <si>
    <t>Bus, tram, other</t>
  </si>
  <si>
    <t>Bus, taxi, car as driver</t>
  </si>
  <si>
    <t>Bus, taxi, car as passenger</t>
  </si>
  <si>
    <t>Bus, taxi, truck</t>
  </si>
  <si>
    <t>Bus, taxi, motorbike/scooter</t>
  </si>
  <si>
    <t>Bus, taxi, bicycle</t>
  </si>
  <si>
    <t>Bus, taxi, other</t>
  </si>
  <si>
    <t>Bus, car as driver, car as passenger</t>
  </si>
  <si>
    <t>Bus, car as driver, truck</t>
  </si>
  <si>
    <t>Bus, car as driver, motorbike/scooter</t>
  </si>
  <si>
    <t>Bus, car as driver, bicycle</t>
  </si>
  <si>
    <t>Bus, car as driver, other</t>
  </si>
  <si>
    <t>Bus, car as passenger, truck</t>
  </si>
  <si>
    <t>Bus, car as passenger, motorbike/scooter</t>
  </si>
  <si>
    <t>Bus, car as passenger, bicycle</t>
  </si>
  <si>
    <t>Bus, car as passenger, other</t>
  </si>
  <si>
    <t>Bus, truck, motorbike/scooter</t>
  </si>
  <si>
    <t>Bus, truck, bicycle</t>
  </si>
  <si>
    <t>Bus, truck, other</t>
  </si>
  <si>
    <t>Bus, motorbike/scooter, bicycle</t>
  </si>
  <si>
    <t>Bus, motorbike/scooter, other</t>
  </si>
  <si>
    <t>Bus, bicycle, other</t>
  </si>
  <si>
    <t>Ferry, tram, taxi</t>
  </si>
  <si>
    <t>Ferry, tram, car as driver</t>
  </si>
  <si>
    <t>Ferry, tram, car as passenger</t>
  </si>
  <si>
    <t>Ferry, tram, truck</t>
  </si>
  <si>
    <t>Ferry, tram, motorbike/scooter</t>
  </si>
  <si>
    <t>Ferry, tram, bicycle</t>
  </si>
  <si>
    <t>Ferry, tram, other</t>
  </si>
  <si>
    <t>Ferry, taxi, car as driver</t>
  </si>
  <si>
    <t>Ferry, taxi, car as passenger</t>
  </si>
  <si>
    <t>Ferry, taxi, truck</t>
  </si>
  <si>
    <t>Ferry, taxi, motorbike/scooter</t>
  </si>
  <si>
    <t>Ferry, taxi, bicycle</t>
  </si>
  <si>
    <t>Ferry, taxi, other</t>
  </si>
  <si>
    <t>Ferry, car as driver, car as passenger</t>
  </si>
  <si>
    <t>Ferry, car as driver, truck</t>
  </si>
  <si>
    <t>Ferry, car as driver, motorbike/scooter</t>
  </si>
  <si>
    <t>Ferry, car as driver, bicycle</t>
  </si>
  <si>
    <t>Ferry, car as driver, other</t>
  </si>
  <si>
    <t>Ferry, car as passenger, truck</t>
  </si>
  <si>
    <t>Ferry, car as passenger, motorbike/scooter</t>
  </si>
  <si>
    <t>Ferry, car as passenger, bicycle</t>
  </si>
  <si>
    <t>Ferry, car as passenger, other</t>
  </si>
  <si>
    <t>Ferry, truck, motorbike/scooter</t>
  </si>
  <si>
    <t>Ferry, truck, bicycle</t>
  </si>
  <si>
    <t>Ferry, truck, other</t>
  </si>
  <si>
    <t>Ferry, motorbike/scooter, bicycle</t>
  </si>
  <si>
    <t>Ferry, motorbike/scooter, other</t>
  </si>
  <si>
    <t>Ferry, bicycle, other</t>
  </si>
  <si>
    <t>Tram, taxi, car as driver</t>
  </si>
  <si>
    <t>Tram, taxi, car as passenger</t>
  </si>
  <si>
    <t>Tram, taxi, truck</t>
  </si>
  <si>
    <t>Tram, taxi, motorbike/scooter</t>
  </si>
  <si>
    <t>Tram, taxi, bicycle</t>
  </si>
  <si>
    <t>Tram, taxi, other</t>
  </si>
  <si>
    <t>Tram, car as driver, car as passenger</t>
  </si>
  <si>
    <t>Tram, car as driver, truck</t>
  </si>
  <si>
    <t>Tram, car as driver, motorbike/scooter</t>
  </si>
  <si>
    <t>Tram, car as driver, bicycle</t>
  </si>
  <si>
    <t>Tram, car as driver, other</t>
  </si>
  <si>
    <t>Tram, car as passenger, truck</t>
  </si>
  <si>
    <t>Tram, car as passenger, motorbike/scooter</t>
  </si>
  <si>
    <t>Tram, car as passenger, bicycle</t>
  </si>
  <si>
    <t>Tram, car as passenger, other</t>
  </si>
  <si>
    <t>Tram, truck, motorbike/scooter</t>
  </si>
  <si>
    <t>Tram, truck, bicycle</t>
  </si>
  <si>
    <t>Tram, truck, other</t>
  </si>
  <si>
    <t>Tram, motorbike/scooter, bicycle</t>
  </si>
  <si>
    <t>Tram, motorbike/scooter, other</t>
  </si>
  <si>
    <t>Tram, bicycle, other</t>
  </si>
  <si>
    <t>Taxi, car as driver, car as passenger</t>
  </si>
  <si>
    <t>Taxi, car as driver, truck</t>
  </si>
  <si>
    <t>Taxi, car as driver, motorbike/scooter</t>
  </si>
  <si>
    <t>Taxi, car as driver, bicycle</t>
  </si>
  <si>
    <t>Taxi, car as driver, other</t>
  </si>
  <si>
    <t>Taxi, car as passenger, truck</t>
  </si>
  <si>
    <t>Taxi, car as passenger, motorbike/scooter</t>
  </si>
  <si>
    <t>Taxi, car as passenger, bicycle</t>
  </si>
  <si>
    <t>Taxi, car as passenger, other</t>
  </si>
  <si>
    <t>Taxi, truck, motorbike/scooter</t>
  </si>
  <si>
    <t>Taxi, truck, bicycle</t>
  </si>
  <si>
    <t>Taxi, truck, other</t>
  </si>
  <si>
    <t>Taxi, motorbike/scooter, bicycle</t>
  </si>
  <si>
    <t>Taxi, motorbike/scooter, other</t>
  </si>
  <si>
    <t>Taxi, bicycle, other</t>
  </si>
  <si>
    <t>Car as driver, car as passenger, truck</t>
  </si>
  <si>
    <t>Car as driver, car as passenger, motorbike/scooter</t>
  </si>
  <si>
    <t>Car as driver, car as passenger, bicycle</t>
  </si>
  <si>
    <t>Car as driver, car as passenger, other</t>
  </si>
  <si>
    <t>Car as driver, truck, motorbike/scooter</t>
  </si>
  <si>
    <t>Car as driver, truck, bicycle</t>
  </si>
  <si>
    <t>Car as driver, truck, other</t>
  </si>
  <si>
    <t>Car as driver, motorbike/scooter, bicycle</t>
  </si>
  <si>
    <t>Car as driver, motorbike/scooter, other</t>
  </si>
  <si>
    <t>Car as driver, bicycle, other</t>
  </si>
  <si>
    <t>Car as passenger, truck, motorbike/scooter</t>
  </si>
  <si>
    <t>Car as passenger, truck, bicycle</t>
  </si>
  <si>
    <t>Car as passenger, truck, other</t>
  </si>
  <si>
    <t>Car as passenger, motorbike/scooter, bicycle</t>
  </si>
  <si>
    <t>Car as passenger, motorbike/scooter, other</t>
  </si>
  <si>
    <t>Car as passenger, bicycle, other</t>
  </si>
  <si>
    <t>Truck, motorbike/scooter, bicycle</t>
  </si>
  <si>
    <t>Truck, motorbike/scooter, other</t>
  </si>
  <si>
    <t>Truck, bicycle, other</t>
  </si>
  <si>
    <t>Motorbike/scooter, bicycle, other</t>
  </si>
  <si>
    <t>Walked only</t>
  </si>
  <si>
    <t>Worked at home</t>
  </si>
  <si>
    <t>Did not go to work</t>
  </si>
  <si>
    <t>MTWP Method of travel to work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</si>
  <si>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</si>
  <si>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</si>
  <si>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</si>
  <si>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</si>
  <si>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</si>
  <si>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</si>
  <si>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</si>
  <si>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</si>
  <si>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OCCP Occupation</t>
  </si>
  <si>
    <t>(12-14 year olds not included in data)</t>
  </si>
  <si>
    <t>Northern European Languages, nfd</t>
  </si>
  <si>
    <t>Celtic</t>
  </si>
  <si>
    <t>English</t>
  </si>
  <si>
    <t>German and Related Languages</t>
  </si>
  <si>
    <t>Dutch and Related Languages</t>
  </si>
  <si>
    <t>Scandinavian</t>
  </si>
  <si>
    <t>Finnish and Related Languages</t>
  </si>
  <si>
    <t>Southern European Languages, nfd</t>
  </si>
  <si>
    <t>French</t>
  </si>
  <si>
    <t>Greek</t>
  </si>
  <si>
    <t>Iberian Romance</t>
  </si>
  <si>
    <t>Italian</t>
  </si>
  <si>
    <t>Maltese</t>
  </si>
  <si>
    <t>Other Southern European Languages</t>
  </si>
  <si>
    <t>Eastern European Languages, nfd</t>
  </si>
  <si>
    <t>Baltic</t>
  </si>
  <si>
    <t>Hungarian</t>
  </si>
  <si>
    <t>East Slavic</t>
  </si>
  <si>
    <t>South Slavic</t>
  </si>
  <si>
    <t>West Slavic</t>
  </si>
  <si>
    <t>Other Eastern European Languages</t>
  </si>
  <si>
    <t>Southwest and Central Asian Languages, nfd</t>
  </si>
  <si>
    <t>Iranic</t>
  </si>
  <si>
    <t>Middle Eastern Semitic Languages</t>
  </si>
  <si>
    <t>Turkic</t>
  </si>
  <si>
    <t>Other Southwest and Central Asian Languages</t>
  </si>
  <si>
    <t>Southern Asian Languages, nfd</t>
  </si>
  <si>
    <t>Dravidian</t>
  </si>
  <si>
    <t>Indo-Aryan</t>
  </si>
  <si>
    <t>Other Southern Asian Languages</t>
  </si>
  <si>
    <t>Southeast Asian Languages, nfd</t>
  </si>
  <si>
    <t>Burmese and Related Languages</t>
  </si>
  <si>
    <t>Hmong-Mien</t>
  </si>
  <si>
    <t>Mon-Khmer</t>
  </si>
  <si>
    <t>Tai</t>
  </si>
  <si>
    <t>Southeast Asian Austronesian Languages</t>
  </si>
  <si>
    <t>Other Southeast Asian Languages</t>
  </si>
  <si>
    <t>Eastern Asian Languages, nfd</t>
  </si>
  <si>
    <t>Chinese</t>
  </si>
  <si>
    <t>Japanese</t>
  </si>
  <si>
    <t>Korean</t>
  </si>
  <si>
    <t>Other Eastern Asian Languages</t>
  </si>
  <si>
    <t>Australian Indigenous Languages, nfd</t>
  </si>
  <si>
    <t>Arnhem Land and Daly River Region Languages</t>
  </si>
  <si>
    <t>Yolngu Matha</t>
  </si>
  <si>
    <t>Cape York Peninsula Languages</t>
  </si>
  <si>
    <t>Torres Strait Island Languages</t>
  </si>
  <si>
    <t>Northern Desert Fringe Area Languages</t>
  </si>
  <si>
    <t>Arandic</t>
  </si>
  <si>
    <t>Western Desert Languages</t>
  </si>
  <si>
    <t>Kimberley Area Languages</t>
  </si>
  <si>
    <t>Other Australian Indigenous Languages</t>
  </si>
  <si>
    <t>Other Languages, nfd</t>
  </si>
  <si>
    <t>American Languages</t>
  </si>
  <si>
    <t>African Languages</t>
  </si>
  <si>
    <t>Pacific Austronesian Languages</t>
  </si>
  <si>
    <t>Oceanian Pidgins and Creoles</t>
  </si>
  <si>
    <t>Papua New Guinea Languages</t>
  </si>
  <si>
    <t>Invented Languages</t>
  </si>
  <si>
    <t>Sign Languages</t>
  </si>
  <si>
    <t>Supplementary codes</t>
  </si>
  <si>
    <t>LAND - Language spoken at home</t>
  </si>
  <si>
    <t>Speaks English only</t>
  </si>
  <si>
    <t>Speaks other language and speaks English: Very well</t>
  </si>
  <si>
    <t>Speaks other language and speaks English: Well</t>
  </si>
  <si>
    <t>Speaks other language and speaks English: Not well</t>
  </si>
  <si>
    <t>Speaks other language and speaks English: Not at all</t>
  </si>
  <si>
    <t>Not stated - both language (LANP) and proficiency (ENGP) not stated</t>
  </si>
  <si>
    <t>Not stated - language (LANP) stated, proficiency (ENGP) not stated</t>
  </si>
  <si>
    <t>ENGLP Proficiency in Spoken English/Language</t>
  </si>
  <si>
    <t>No unpaid assistance provided</t>
  </si>
  <si>
    <t>Provided unpaid assistance</t>
  </si>
  <si>
    <t>UNCAREP Unpaid Assistance to a Person with a Disability</t>
  </si>
  <si>
    <t>STUP Full-Time/Part-Time Student Status</t>
  </si>
  <si>
    <t>Husband, Wife or Partner in a registered marriage</t>
  </si>
  <si>
    <t>Husband, Wife or Partner in de facto marriage, opposite-sex couple</t>
  </si>
  <si>
    <t>Husband, Wife or Partner in de facto marriage, male same-sex couple</t>
  </si>
  <si>
    <t>Husband, Wife or Partner in de facto marriage, female same-sex couple</t>
  </si>
  <si>
    <t>Lone parent</t>
  </si>
  <si>
    <t>Natural or adopted child under 15</t>
  </si>
  <si>
    <t>Step child under 15</t>
  </si>
  <si>
    <t>Foster child under 15</t>
  </si>
  <si>
    <t>Grandchild under 15</t>
  </si>
  <si>
    <t>Otherwise related child under 15</t>
  </si>
  <si>
    <t>Unrelated child under 15</t>
  </si>
  <si>
    <t>Natural or adopted dependent student</t>
  </si>
  <si>
    <t>Dependent student step child</t>
  </si>
  <si>
    <t>Dependent student foster child</t>
  </si>
  <si>
    <t>Non-dependent natural, or adopted child</t>
  </si>
  <si>
    <t>Non-dependent step child</t>
  </si>
  <si>
    <t>Non-dependent foster child</t>
  </si>
  <si>
    <t>Brother/sister</t>
  </si>
  <si>
    <t>Father/mother</t>
  </si>
  <si>
    <t>Non-dependent grandchild</t>
  </si>
  <si>
    <t>Grandfather/grandmother</t>
  </si>
  <si>
    <t>Cousin</t>
  </si>
  <si>
    <t>Uncle/aunt</t>
  </si>
  <si>
    <t>Nephew/niece</t>
  </si>
  <si>
    <t>Other related individual (nec)</t>
  </si>
  <si>
    <t>Unrelated individual living in family household</t>
  </si>
  <si>
    <t>Group household member</t>
  </si>
  <si>
    <t>Lone person</t>
  </si>
  <si>
    <t>Visitor (from within Australia)</t>
  </si>
  <si>
    <t>Other non-classifiable relationship</t>
  </si>
  <si>
    <t>RLHP Relationship in Household</t>
  </si>
  <si>
    <t>No children</t>
  </si>
  <si>
    <t>One child</t>
  </si>
  <si>
    <t>Two children</t>
  </si>
  <si>
    <t>Three children</t>
  </si>
  <si>
    <t>Four children</t>
  </si>
  <si>
    <t>Five children</t>
  </si>
  <si>
    <t>Six children</t>
  </si>
  <si>
    <t>Seven children</t>
  </si>
  <si>
    <t>Eight or more children</t>
  </si>
  <si>
    <t>TISRP Number of Children Ever Born (ranges)</t>
  </si>
  <si>
    <t>Alcohol - Hospitalisation - Rate</t>
  </si>
  <si>
    <t>Map area</t>
  </si>
  <si>
    <t>Illicits (any) - Hospitalisation - Rate</t>
  </si>
  <si>
    <t>15-24yo</t>
  </si>
  <si>
    <t>2005/06 - Illicits (any) Hospital Rate 15-24yrs</t>
  </si>
  <si>
    <t>2006/07 - Illicits (any) Hospital Rate 15-24yrs</t>
  </si>
  <si>
    <t>2007/08 - Illicits (any) Hospital Rate 15-24yrs</t>
  </si>
  <si>
    <t>2008/09 - Illicits (any) Hospital Rate 15-24yrs</t>
  </si>
  <si>
    <t>2009/10 - Illicits (any) Hospital Rate 15-24yrs</t>
  </si>
  <si>
    <t>2010/11 - Illicits (any) Hospital Rate 15-24yrs</t>
  </si>
  <si>
    <t>2011/12 - Illicits (any) Hospital Rate 15-24yrs</t>
  </si>
  <si>
    <t>2012/13 - Illicits (any) Hospital Rate 15-24yrs</t>
  </si>
  <si>
    <t>2013/14 - Illicits (any) Hospital Rate 15-24yrs</t>
  </si>
  <si>
    <t>2014/15 - Illicits (any) Hospital Rate 15-24yrs</t>
  </si>
  <si>
    <t xml:space="preserve"> </t>
  </si>
  <si>
    <t>2005/06 - Alcohol Hospital Rate 15-24yrs</t>
  </si>
  <si>
    <t>2006/07 - Alcohol Hospital Rate 15-24yrs</t>
  </si>
  <si>
    <t>2007/08 - Alcohol Hospital Rate 15-24yrs</t>
  </si>
  <si>
    <t>2008/09 - Alcohol Hospital Rate 15-24yrs</t>
  </si>
  <si>
    <t>2009/10 - Alcohol Hospital Rate 15-24yrs</t>
  </si>
  <si>
    <t>2010/11 - Alcohol Hospital Rate 15-24yrs</t>
  </si>
  <si>
    <t>2011/12 - Alcohol Hospital Rate 15-24yrs</t>
  </si>
  <si>
    <t>2012/13 - Alcohol Hospital Rate 15-24yrs</t>
  </si>
  <si>
    <t>2013/14 - Alcohol Hospital Rate 15-24yrs</t>
  </si>
  <si>
    <t>2014/15 - Alcohol Hospital Rate 15-24yrs</t>
  </si>
  <si>
    <t>Post-school destination</t>
  </si>
  <si>
    <t>Number</t>
  </si>
  <si>
    <t>Per cent</t>
  </si>
  <si>
    <t>In further education or training</t>
  </si>
  <si>
    <t>Bachelor degree</t>
  </si>
  <si>
    <t>Certificates/Diplomas</t>
  </si>
  <si>
    <t>Certificate IV or higher</t>
  </si>
  <si>
    <t>Certificate I to III</t>
  </si>
  <si>
    <t>Apprentice/Trainee</t>
  </si>
  <si>
    <t>Apprenticeship</t>
  </si>
  <si>
    <t>Traineeship</t>
  </si>
  <si>
    <t>Not continuing in further education or training</t>
  </si>
  <si>
    <t>Employed</t>
  </si>
  <si>
    <t>Employed full-time</t>
  </si>
  <si>
    <t>Employed part-time</t>
  </si>
  <si>
    <t>Looking for work</t>
  </si>
  <si>
    <t>NILFET</t>
  </si>
  <si>
    <t>np</t>
  </si>
  <si>
    <t>Unknown</t>
  </si>
  <si>
    <t>Total respondents</t>
  </si>
  <si>
    <t>On Track Survey</t>
  </si>
  <si>
    <t>Destinations of Year 12 or equivalent completers six months after leaving school, Cardinia (S</t>
  </si>
  <si>
    <t xml:space="preserve">Destinations of Year 12 or equivalent completers who exited school in 2015, Cardinia (S) </t>
  </si>
  <si>
    <t>Certificates /</t>
  </si>
  <si>
    <t>Diplomas</t>
  </si>
  <si>
    <t>Apprentice /</t>
  </si>
  <si>
    <t>Trainee</t>
  </si>
  <si>
    <t>Geography</t>
  </si>
  <si>
    <t>Year</t>
  </si>
  <si>
    <t>http://www.education.vic.gov.au/about/research/Pages/localgovatoz.aspx</t>
  </si>
  <si>
    <t>Victoria</t>
  </si>
  <si>
    <t>Hospitalization for intentional self harm - 
per 1000 adolescents, 2008/9</t>
  </si>
  <si>
    <t>Per cent of adolescents with highest level of psychological distress, 2009</t>
  </si>
  <si>
    <t>Per cent of adolescents without positive psychological development, 2009</t>
  </si>
  <si>
    <t>Per cent of year 9 students without minimum writing standard, 2010</t>
  </si>
  <si>
    <t>Hospitalization for injury and poisoning, 2008-9, per 1,000 children</t>
  </si>
  <si>
    <t>Victims of crime against the person, per 1,000 adolescents, 2009/10</t>
  </si>
  <si>
    <t>Perpetrators of crimes against the person, per 1,000 adolescents, 2009/10</t>
  </si>
  <si>
    <t>Convicted and placed on a community order, per 1,000 adolescents 2009/10</t>
  </si>
  <si>
    <t>Per cent 15-17 year olds who drank alcohol in the past 30 days</t>
  </si>
  <si>
    <t>Per cent 15-17 year olds who smoked in the past 30 days</t>
  </si>
  <si>
    <t>Per cent 15-17 year olds who ever - used marijuana</t>
  </si>
  <si>
    <t>Per cent 15-17 year olds who ever - sniffed glue or chromed</t>
  </si>
  <si>
    <t>Per cent 15-17 year olds who ever - used other illegal drugs</t>
  </si>
  <si>
    <t>Per cent of sexually active adolescents who do not practise safe sex by using a condom, 2009</t>
  </si>
  <si>
    <t>Per cent of sexually active females who do not use contraception, 2009</t>
  </si>
  <si>
    <t>Rate of sexually transmitted diseases per 1,000 adolescents, 2008/9</t>
  </si>
  <si>
    <t>Per cent of adolescents who do not have a trusted adult in life</t>
  </si>
  <si>
    <t>Rate of child abuse substantiations, per 1,000 adolescents, 2009/10</t>
  </si>
  <si>
    <t>Per cent of adolescents who do not have someone to turn to for advice when they have problems, 2009</t>
  </si>
  <si>
    <t>Per cent of adolescents who are not satisfied with the quality of life, 2009</t>
  </si>
  <si>
    <t>Per cent of Adolescents with eating disorders, 2009</t>
  </si>
  <si>
    <t>18-24 year olds</t>
  </si>
  <si>
    <t>Very safe or safe during the day</t>
  </si>
  <si>
    <t>Very safe or safe at night</t>
  </si>
  <si>
    <t>no data</t>
  </si>
  <si>
    <t>Subjective wellbeing</t>
  </si>
  <si>
    <t>Satisfaction with life as a whole</t>
  </si>
  <si>
    <t>Resilience</t>
  </si>
  <si>
    <t># servs of vegetables per day</t>
  </si>
  <si>
    <t># serves of fruit per day</t>
  </si>
  <si>
    <t>range 0-8</t>
  </si>
  <si>
    <t>range 0-10</t>
  </si>
  <si>
    <t>2015 VicHealth Indicators Survey</t>
  </si>
  <si>
    <t>2011 DEECD wellbeing profile (social statistics)</t>
  </si>
  <si>
    <t>http://www.education.vic.gov.au/about/research/Pages/reportdataadolescent.aspx</t>
  </si>
  <si>
    <t>minimum recommended serves of fruit and vegetables each day</t>
  </si>
  <si>
    <t>recommended amount of daily physical activity</t>
  </si>
  <si>
    <t>reported being recently bullied</t>
  </si>
  <si>
    <t>hospitalisation rate for intentional self harm</t>
  </si>
  <si>
    <t>0.4 per 1,000</t>
  </si>
  <si>
    <t>Souther Metro Region</t>
  </si>
  <si>
    <t>psychiatric hospitalisations per 1,000</t>
  </si>
  <si>
    <t>very high levels of psychological distress.</t>
  </si>
  <si>
    <t>22.0 per 1000</t>
  </si>
  <si>
    <t>victims of a reported crime</t>
  </si>
  <si>
    <t>2009-10</t>
  </si>
  <si>
    <t>alleged offenders of crime</t>
  </si>
  <si>
    <t>66.8 per 1000 adolescents</t>
  </si>
  <si>
    <t>Comparison Region:</t>
  </si>
  <si>
    <t>Main region:</t>
  </si>
  <si>
    <t>Demographic Profile</t>
  </si>
  <si>
    <t>Current population (2016 Census)</t>
  </si>
  <si>
    <t>Forecast 2036</t>
  </si>
  <si>
    <t>Total Interface</t>
  </si>
  <si>
    <t>Total Melbourne Metro</t>
  </si>
  <si>
    <t>Total Victoria</t>
  </si>
  <si>
    <t>Total 12-24</t>
  </si>
  <si>
    <t>Total population</t>
  </si>
  <si>
    <t>12-17 year old population</t>
  </si>
  <si>
    <t>18-24 year old population</t>
  </si>
  <si>
    <t>2036 12-24 population</t>
  </si>
  <si>
    <t>Youth Fact Sheet</t>
  </si>
  <si>
    <t>Total 12-17</t>
  </si>
  <si>
    <t>Total 18-24</t>
  </si>
  <si>
    <t>Select comparison regions:</t>
  </si>
  <si>
    <t>2016 Population</t>
  </si>
  <si>
    <t>Full time</t>
  </si>
  <si>
    <t>Part time</t>
  </si>
  <si>
    <t>Part Time</t>
  </si>
  <si>
    <t>Neihter</t>
  </si>
  <si>
    <t>Not a student</t>
  </si>
  <si>
    <t>Still in school</t>
  </si>
  <si>
    <t>TAFE</t>
  </si>
  <si>
    <t>University</t>
  </si>
  <si>
    <t>18-24 year olds education status</t>
  </si>
  <si>
    <t>Employment figures cover those aged 15-24. Data isn't collected for those under the age of 15.</t>
  </si>
  <si>
    <t>Unemployed</t>
  </si>
  <si>
    <t>Not in the labor force</t>
  </si>
  <si>
    <t>&lt;$400</t>
  </si>
  <si>
    <t>$400-$649</t>
  </si>
  <si>
    <t>$650+</t>
  </si>
  <si>
    <t>Nil/negative</t>
  </si>
  <si>
    <t>Of those who stated an industry / are working</t>
  </si>
  <si>
    <t>Retail</t>
  </si>
  <si>
    <t>Accomodation</t>
  </si>
  <si>
    <t>% of those 15-24 year olds who are employed</t>
  </si>
  <si>
    <t>Fully</t>
  </si>
  <si>
    <t>Partially</t>
  </si>
  <si>
    <t>Not engaged</t>
  </si>
  <si>
    <t>Of those for whom it can be determined</t>
  </si>
  <si>
    <t>Married</t>
  </si>
  <si>
    <t>Live with parents - dependant</t>
  </si>
  <si>
    <t>Live with parents - no dependant</t>
  </si>
  <si>
    <t>Group/lone person household</t>
  </si>
  <si>
    <t>Language</t>
  </si>
  <si>
    <t>12-17 English</t>
  </si>
  <si>
    <t>18-24 English</t>
  </si>
  <si>
    <t>Speak English:</t>
  </si>
  <si>
    <t>12-24 English</t>
  </si>
  <si>
    <t>Unpaid assistance to person with disability</t>
  </si>
  <si>
    <t>Have children of their own</t>
  </si>
  <si>
    <t>Public transport</t>
  </si>
  <si>
    <t>Car</t>
  </si>
  <si>
    <t>Travel to work</t>
  </si>
  <si>
    <t>Car (driver or passenger)</t>
  </si>
  <si>
    <t>-</t>
  </si>
  <si>
    <t>Health and wellbeing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</si>
  <si>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</si>
  <si>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</si>
  <si>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</si>
  <si>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</si>
  <si>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</si>
  <si>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</si>
  <si>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</si>
  <si>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</si>
  <si>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</si>
  <si>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</si>
  <si>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Psycological distress:</t>
  </si>
  <si>
    <t>Self-harm:</t>
  </si>
  <si>
    <t>hospitalisation. Rate per 1,000</t>
  </si>
  <si>
    <t>Drank alcohol:</t>
  </si>
  <si>
    <t>in 30 days prior to interview</t>
  </si>
  <si>
    <t>Smoked cigarettes:</t>
  </si>
  <si>
    <t>Officer PSP</t>
  </si>
  <si>
    <t>Negative / Nil</t>
  </si>
  <si>
    <t>PT</t>
  </si>
  <si>
    <t>Illicit drugs (any)</t>
  </si>
  <si>
    <t>Alcohol</t>
  </si>
  <si>
    <t>12-17 year olds</t>
  </si>
  <si>
    <t>2016 12-24 year olds</t>
  </si>
  <si>
    <t>2036 12-24 year olds</t>
  </si>
  <si>
    <t>http://aodstats.org.au/VicLGA/</t>
  </si>
  <si>
    <t>© 2017 PHIDU</t>
  </si>
  <si>
    <t>Youth mortality: Deaths of persons aged 15 to 24 years</t>
  </si>
  <si>
    <t>2010 to 2014</t>
  </si>
  <si>
    <t>Average annual ASR per 100,000</t>
  </si>
  <si>
    <t>..</t>
  </si>
  <si>
    <t>Queenscliffe (B)</t>
  </si>
  <si>
    <t>Unincorporated Vic</t>
  </si>
  <si>
    <t>Unknown Vic/ ABS cell adjustment</t>
  </si>
  <si>
    <t>AUSTRALIA+</t>
  </si>
  <si>
    <t>Greater Capital Cities</t>
  </si>
  <si>
    <t>Rest of States/ NT</t>
  </si>
  <si>
    <t>Greater Capital Cities and Major Urban Centres++</t>
  </si>
  <si>
    <t>Rest of States/ NT excluding Major Urban Centres++</t>
  </si>
  <si>
    <t>New South Wales</t>
  </si>
  <si>
    <t>Greater Sydney</t>
  </si>
  <si>
    <t>Rest of New South Wales</t>
  </si>
  <si>
    <t>Greater Sydney, Illawarra, and Newcastle and Lake Macquarie</t>
  </si>
  <si>
    <t>Rest of NSW excluding Illawarra, and Newcastle and Lake Macquarie</t>
  </si>
  <si>
    <t>Greater Melbourne</t>
  </si>
  <si>
    <t>Rest of Victoria</t>
  </si>
  <si>
    <t>Greater Melbourne and Geelong</t>
  </si>
  <si>
    <t>Rest of Victoria excluding Geelong</t>
  </si>
  <si>
    <t>Queensland</t>
  </si>
  <si>
    <t>Greater Brisbane</t>
  </si>
  <si>
    <t>Rest of Queensland</t>
  </si>
  <si>
    <t>Greater Brisbane, Gold Coast  and Townsville</t>
  </si>
  <si>
    <t>Rest of Queensland excluding Gold Coast and Townsville</t>
  </si>
  <si>
    <t>South Australia</t>
  </si>
  <si>
    <t>Greater Adelaide</t>
  </si>
  <si>
    <t>Rest of South Australia</t>
  </si>
  <si>
    <t>Western Australia</t>
  </si>
  <si>
    <t>Greater Perth</t>
  </si>
  <si>
    <t>Rest of Western Australia</t>
  </si>
  <si>
    <t>Tasmania</t>
  </si>
  <si>
    <t>Greater Hobart</t>
  </si>
  <si>
    <t>Rest of Tasmania</t>
  </si>
  <si>
    <t>Northern Territory</t>
  </si>
  <si>
    <t>Greater Darwin</t>
  </si>
  <si>
    <t>Rest of Northern Territory</t>
  </si>
  <si>
    <t>Australian Capital Territory</t>
  </si>
  <si>
    <t>Australian Capital Territory+++</t>
  </si>
  <si>
    <t>% Female vaccine coverage</t>
  </si>
  <si>
    <t>HPV vaccine coverage: females aged 12-13 years in mid-2013, who received Dose 3 by 2016</t>
  </si>
  <si>
    <t>HPV vaccine coverage: males aged 12-13 years in mid-2013, who received Dose 3 by 2016</t>
  </si>
  <si>
    <t>% Male vaccine coverage</t>
  </si>
  <si>
    <t>Alpine</t>
  </si>
  <si>
    <t>Bass Coast</t>
  </si>
  <si>
    <t>Baw Baw</t>
  </si>
  <si>
    <t>Buloke</t>
  </si>
  <si>
    <t>Campaspe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</si>
  <si>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</si>
  <si>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</si>
  <si>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</si>
  <si>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</si>
  <si>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</si>
  <si>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</si>
  <si>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</si>
  <si>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</si>
  <si>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</si>
  <si>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</si>
  <si>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</si>
  <si>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</si>
  <si>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</si>
  <si>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Moira</t>
  </si>
  <si>
    <t>Moorabool</t>
  </si>
  <si>
    <t>Mount Alexander</t>
  </si>
  <si>
    <t>Moyne</t>
  </si>
  <si>
    <t>Murrindindi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</si>
  <si>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</si>
  <si>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</si>
  <si>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</si>
  <si>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</si>
  <si>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</si>
  <si>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</si>
  <si>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</si>
  <si>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</si>
  <si>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</si>
  <si>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Yarriambiack</t>
  </si>
  <si>
    <t>Ballarat</t>
  </si>
  <si>
    <t>Banyule</t>
  </si>
  <si>
    <t>Bayside</t>
  </si>
  <si>
    <t>Boroondara</t>
  </si>
  <si>
    <t>Brimbank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</si>
  <si>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</si>
  <si>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</si>
  <si>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</si>
  <si>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</si>
  <si>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</si>
  <si>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</si>
  <si>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</si>
  <si>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</si>
  <si>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Kingston (Vic.)</t>
  </si>
  <si>
    <t>Knox</t>
  </si>
  <si>
    <t>Latrobe (Vic.)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</si>
  <si>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</si>
  <si>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</si>
  <si>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</si>
  <si>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</si>
  <si>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</si>
  <si>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</si>
  <si>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</si>
  <si>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</si>
  <si>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</si>
  <si>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</si>
  <si>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</si>
  <si>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Wodonga</t>
  </si>
  <si>
    <t>Yarra</t>
  </si>
  <si>
    <t>Ararat</t>
  </si>
  <si>
    <t>Benalla</t>
  </si>
  <si>
    <t>Horsham</t>
  </si>
  <si>
    <t>Mildura</t>
  </si>
  <si>
    <t>Swan Hill</t>
  </si>
  <si>
    <t>Wangaratta</t>
  </si>
  <si>
    <t>Youth mortality:</t>
  </si>
  <si>
    <t>15-24yo Average annual ASR per 100,000</t>
  </si>
  <si>
    <t>https://forecast.id.com.au/</t>
  </si>
  <si>
    <t>English poor/
not at all: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</si>
</sst>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b/>
      <sz val="14"/>
      <color theme="0"/>
      <name val="Franklin Gothic Book"/>
      <family val="2"/>
    </font>
    <font>
      <sz val="11"/>
      <color theme="3"/>
      <name val="Franklin Gothic Book"/>
      <family val="2"/>
    </font>
    <font>
      <sz val="20"/>
      <color theme="3"/>
      <name val="Franklin Gothic Book"/>
      <family val="2"/>
    </font>
    <font>
      <sz val="18"/>
      <color theme="3"/>
      <name val="Franklin Gothic Book"/>
      <family val="2"/>
    </font>
    <font>
      <b/>
      <sz val="14"/>
      <color theme="3"/>
      <name val="Franklin Gothic Book"/>
      <family val="2"/>
    </font>
    <font>
      <sz val="12"/>
      <color theme="3"/>
      <name val="Franklin Gothic Book"/>
      <family val="2"/>
    </font>
    <font>
      <b/>
      <sz val="12"/>
      <color theme="3"/>
      <name val="Franklin Gothic Book"/>
      <family val="2"/>
    </font>
    <font>
      <i/>
      <sz val="11"/>
      <color theme="1"/>
      <name val="Franklin Gothic Book"/>
      <family val="2"/>
    </font>
    <font>
      <sz val="14"/>
      <color theme="3"/>
      <name val="Franklin Gothic Book"/>
      <family val="2"/>
    </font>
    <font>
      <b/>
      <sz val="16"/>
      <color theme="3"/>
      <name val="Franklin Gothic Book"/>
      <family val="2"/>
    </font>
    <font>
      <sz val="11"/>
      <color theme="0"/>
      <name val="Calibri"/>
      <family val="2"/>
      <scheme val="minor"/>
    </font>
    <font>
      <i/>
      <sz val="11"/>
      <color theme="3"/>
      <name val="Franklin Gothic Book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7" fillId="0" borderId="0"/>
  </cellStyleXfs>
  <cellXfs count="73">
    <xf numFmtId="0" fontId="0" fillId="0" borderId="0" xfId="0"/>
    <xf numFmtId="17" fontId="0" fillId="0" borderId="0" xfId="0" applyNumberFormat="1"/>
    <xf numFmtId="17" fontId="0" fillId="0" borderId="0" xfId="0" quotePrefix="1" applyNumberForma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6" fillId="0" borderId="0" xfId="0" applyFont="1"/>
    <xf numFmtId="10" fontId="0" fillId="0" borderId="0" xfId="0" applyNumberFormat="1"/>
    <xf numFmtId="0" fontId="5" fillId="0" borderId="0" xfId="0" applyFont="1" applyAlignment="1">
      <alignment vertical="center"/>
    </xf>
    <xf numFmtId="0" fontId="4" fillId="0" borderId="0" xfId="3"/>
    <xf numFmtId="9" fontId="0" fillId="0" borderId="0" xfId="2" applyFont="1"/>
    <xf numFmtId="0" fontId="8" fillId="0" borderId="0" xfId="0" applyFont="1"/>
    <xf numFmtId="17" fontId="8" fillId="0" borderId="0" xfId="0" quotePrefix="1" applyNumberFormat="1" applyFont="1"/>
    <xf numFmtId="9" fontId="8" fillId="0" borderId="0" xfId="2" applyFont="1"/>
    <xf numFmtId="0" fontId="9" fillId="2" borderId="0" xfId="0" applyFont="1" applyFill="1"/>
    <xf numFmtId="17" fontId="10" fillId="2" borderId="0" xfId="0" quotePrefix="1" applyNumberFormat="1" applyFont="1" applyFill="1"/>
    <xf numFmtId="0" fontId="10" fillId="2" borderId="0" xfId="0" applyFont="1" applyFill="1"/>
    <xf numFmtId="0" fontId="12" fillId="0" borderId="0" xfId="0" applyFont="1"/>
    <xf numFmtId="164" fontId="8" fillId="0" borderId="0" xfId="1" applyNumberFormat="1" applyFont="1"/>
    <xf numFmtId="0" fontId="8" fillId="0" borderId="0" xfId="0" applyFont="1" applyAlignment="1">
      <alignment horizontal="right"/>
    </xf>
    <xf numFmtId="0" fontId="14" fillId="0" borderId="0" xfId="0" applyFont="1"/>
    <xf numFmtId="0" fontId="16" fillId="0" borderId="0" xfId="0" applyFont="1"/>
    <xf numFmtId="0" fontId="9" fillId="0" borderId="0" xfId="0" applyFont="1"/>
    <xf numFmtId="0" fontId="17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65" fontId="0" fillId="0" borderId="0" xfId="2" applyNumberFormat="1" applyFont="1"/>
    <xf numFmtId="0" fontId="0" fillId="0" borderId="0" xfId="0" quotePrefix="1"/>
    <xf numFmtId="0" fontId="18" fillId="0" borderId="0" xfId="0" applyFont="1"/>
    <xf numFmtId="0" fontId="19" fillId="0" borderId="0" xfId="0" applyFont="1" applyAlignment="1">
      <alignment horizontal="right"/>
    </xf>
    <xf numFmtId="0" fontId="0" fillId="0" borderId="0" xfId="0" applyFill="1"/>
    <xf numFmtId="0" fontId="0" fillId="0" borderId="0" xfId="0" applyAlignment="1">
      <alignment wrapText="1"/>
    </xf>
    <xf numFmtId="9" fontId="8" fillId="0" borderId="0" xfId="0" applyNumberFormat="1" applyFont="1"/>
    <xf numFmtId="17" fontId="8" fillId="0" borderId="0" xfId="0" applyNumberFormat="1" applyFont="1"/>
    <xf numFmtId="0" fontId="0" fillId="0" borderId="0" xfId="0" applyAlignment="1">
      <alignment vertical="center" wrapText="1"/>
    </xf>
    <xf numFmtId="17" fontId="9" fillId="0" borderId="0" xfId="0" quotePrefix="1" applyNumberFormat="1" applyFont="1"/>
    <xf numFmtId="9" fontId="9" fillId="0" borderId="0" xfId="2" applyFont="1"/>
    <xf numFmtId="0" fontId="20" fillId="0" borderId="0" xfId="0" applyFont="1"/>
    <xf numFmtId="0" fontId="8" fillId="3" borderId="0" xfId="0" applyFont="1" applyFill="1" applyProtection="1">
      <protection locked="0"/>
    </xf>
    <xf numFmtId="9" fontId="18" fillId="8" borderId="1" xfId="2" applyNumberFormat="1" applyFont="1" applyFill="1" applyBorder="1" applyAlignment="1">
      <alignment horizontal="center"/>
    </xf>
    <xf numFmtId="9" fontId="18" fillId="0" borderId="1" xfId="2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5" fontId="18" fillId="0" borderId="1" xfId="2" applyNumberFormat="1" applyFont="1" applyBorder="1" applyAlignment="1">
      <alignment horizontal="center"/>
    </xf>
    <xf numFmtId="0" fontId="18" fillId="0" borderId="0" xfId="0" applyFont="1" applyBorder="1"/>
    <xf numFmtId="0" fontId="15" fillId="0" borderId="1" xfId="0" applyFont="1" applyBorder="1" applyAlignment="1">
      <alignment wrapText="1"/>
    </xf>
    <xf numFmtId="165" fontId="11" fillId="0" borderId="1" xfId="2" applyNumberFormat="1" applyFont="1" applyBorder="1" applyAlignment="1">
      <alignment horizontal="left" wrapText="1"/>
    </xf>
    <xf numFmtId="165" fontId="15" fillId="0" borderId="1" xfId="2" applyNumberFormat="1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right" vertical="top"/>
    </xf>
    <xf numFmtId="166" fontId="13" fillId="0" borderId="1" xfId="1" applyNumberFormat="1" applyFont="1" applyBorder="1" applyAlignment="1">
      <alignment vertical="top"/>
    </xf>
    <xf numFmtId="9" fontId="13" fillId="0" borderId="1" xfId="2" applyFont="1" applyBorder="1" applyAlignment="1">
      <alignment vertical="top"/>
    </xf>
    <xf numFmtId="2" fontId="13" fillId="0" borderId="1" xfId="2" applyNumberFormat="1" applyFont="1" applyBorder="1" applyAlignment="1">
      <alignment vertical="top"/>
    </xf>
    <xf numFmtId="0" fontId="15" fillId="0" borderId="1" xfId="0" applyFont="1" applyBorder="1" applyAlignment="1">
      <alignment horizontal="right"/>
    </xf>
    <xf numFmtId="0" fontId="15" fillId="8" borderId="1" xfId="0" quotePrefix="1" applyFont="1" applyFill="1" applyBorder="1" applyAlignment="1">
      <alignment horizontal="right" wrapText="1"/>
    </xf>
    <xf numFmtId="165" fontId="18" fillId="8" borderId="1" xfId="2" applyNumberFormat="1" applyFont="1" applyFill="1" applyBorder="1" applyAlignment="1">
      <alignment horizontal="center"/>
    </xf>
    <xf numFmtId="0" fontId="15" fillId="8" borderId="1" xfId="0" quotePrefix="1" applyFont="1" applyFill="1" applyBorder="1" applyAlignment="1">
      <alignment horizontal="right"/>
    </xf>
    <xf numFmtId="0" fontId="15" fillId="8" borderId="1" xfId="0" applyFont="1" applyFill="1" applyBorder="1" applyAlignment="1">
      <alignment wrapText="1"/>
    </xf>
    <xf numFmtId="9" fontId="13" fillId="8" borderId="1" xfId="2" applyFont="1" applyFill="1" applyBorder="1" applyAlignment="1">
      <alignment vertical="top"/>
    </xf>
    <xf numFmtId="165" fontId="15" fillId="8" borderId="1" xfId="2" applyNumberFormat="1" applyFont="1" applyFill="1" applyBorder="1" applyAlignment="1">
      <alignment horizontal="left" wrapText="1"/>
    </xf>
    <xf numFmtId="2" fontId="13" fillId="8" borderId="1" xfId="2" applyNumberFormat="1" applyFont="1" applyFill="1" applyBorder="1" applyAlignment="1">
      <alignment vertical="top"/>
    </xf>
    <xf numFmtId="165" fontId="11" fillId="8" borderId="1" xfId="2" applyNumberFormat="1" applyFont="1" applyFill="1" applyBorder="1" applyAlignment="1">
      <alignment horizontal="left" wrapText="1"/>
    </xf>
    <xf numFmtId="166" fontId="13" fillId="8" borderId="1" xfId="1" applyNumberFormat="1" applyFont="1" applyFill="1" applyBorder="1" applyAlignment="1">
      <alignment vertical="top"/>
    </xf>
    <xf numFmtId="0" fontId="8" fillId="3" borderId="0" xfId="0" applyFont="1" applyFill="1"/>
    <xf numFmtId="0" fontId="21" fillId="0" borderId="0" xfId="0" applyFont="1" applyAlignment="1">
      <alignment horizontal="right" vertical="top" wrapText="1"/>
    </xf>
    <xf numFmtId="0" fontId="8" fillId="0" borderId="0" xfId="0" applyFont="1" applyAlignment="1">
      <alignment horizontal="right"/>
    </xf>
    <xf numFmtId="0" fontId="19" fillId="0" borderId="0" xfId="0" applyFont="1" applyAlignment="1">
      <alignment horizontal="right" vertical="top" wrapText="1"/>
    </xf>
    <xf numFmtId="0" fontId="15" fillId="0" borderId="1" xfId="0" quotePrefix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8" borderId="1" xfId="0" applyFont="1" applyFill="1" applyBorder="1" applyAlignment="1">
      <alignment horizontal="right"/>
    </xf>
  </cellXfs>
  <cellStyles count="6">
    <cellStyle name="Comma" xfId="1" builtinId="3"/>
    <cellStyle name="Hyperlink" xfId="3" builtinId="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10 2" xfId="5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Percent of population by age range (2016)</a:t>
            </a:r>
          </a:p>
        </c:rich>
      </c:tx>
      <c:layout>
        <c:manualLayout>
          <c:xMode val="edge"/>
          <c:yMode val="edge"/>
          <c:x val="2.1681451829694474E-2"/>
          <c:y val="1.731768943117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257747543461828E-2"/>
          <c:y val="0.18789327285176313"/>
          <c:w val="0.93348450491307633"/>
          <c:h val="0.52036716877781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Summary!$C$6</c:f>
              <c:strCache>
                <c:ptCount val="1"/>
                <c:pt idx="0">
                  <c:v>Cardinia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Summary!$B$10:$B$13</c:f>
              <c:strCache>
                <c:ptCount val="4"/>
                <c:pt idx="0">
                  <c:v>12-17 year olds</c:v>
                </c:pt>
                <c:pt idx="1">
                  <c:v>18-24 year olds</c:v>
                </c:pt>
                <c:pt idx="2">
                  <c:v>2016 12-24 year olds</c:v>
                </c:pt>
                <c:pt idx="3">
                  <c:v>2036 12-24 year olds</c:v>
                </c:pt>
              </c:strCache>
            </c:strRef>
          </c:cat>
          <c:val>
            <c:numRef>
              <c:f>Summary!$C$10:$C$13</c:f>
              <c:numCache>
                <c:formatCode>0%</c:formatCode>
                <c:ptCount val="4"/>
                <c:pt idx="0">
                  <c:v>8.1536173377244239E-2</c:v>
                </c:pt>
                <c:pt idx="1">
                  <c:v>8.8292786571762455E-2</c:v>
                </c:pt>
                <c:pt idx="2">
                  <c:v>0.16990332518856899</c:v>
                </c:pt>
                <c:pt idx="3">
                  <c:v>0.17921968638577679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5-428F-9E7A-EE1647F01C4A}"/>
            </c:ext>
          </c:extLst>
        </c:ser>
        <c:ser>
          <c:idx val="1"/>
          <c:order val="1"/>
          <c:tx>
            <c:strRef>
              <c:f>Summary!$D$6</c:f>
              <c:strCache>
                <c:ptCount val="1"/>
                <c:pt idx="0">
                  <c:v>Mornington Peninsula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Summary!$B$10:$B$13</c:f>
              <c:strCache>
                <c:ptCount val="4"/>
                <c:pt idx="0">
                  <c:v>12-17 year olds</c:v>
                </c:pt>
                <c:pt idx="1">
                  <c:v>18-24 year olds</c:v>
                </c:pt>
                <c:pt idx="2">
                  <c:v>2016 12-24 year olds</c:v>
                </c:pt>
                <c:pt idx="3">
                  <c:v>2036 12-24 year olds</c:v>
                </c:pt>
              </c:strCache>
            </c:strRef>
          </c:cat>
          <c:val>
            <c:numRef>
              <c:f>Summary!$D$10:$D$13</c:f>
              <c:numCache>
                <c:formatCode>0%</c:formatCode>
                <c:ptCount val="4"/>
                <c:pt idx="0">
                  <c:v>7.062762910010581E-2</c:v>
                </c:pt>
                <c:pt idx="1">
                  <c:v>6.9937288704224623E-2</c:v>
                </c:pt>
                <c:pt idx="2">
                  <c:v>0.14055846602492966</c:v>
                </c:pt>
                <c:pt idx="3">
                  <c:v>0.14350188360209373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5-4EC3-B228-71147DFD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5768664"/>
        <c:axId val="295769056"/>
      </c:barChart>
      <c:catAx>
        <c:axId val="29576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5769056"/>
        <c:crosses val="autoZero"/>
        <c:auto val="1"/>
        <c:lblAlgn val="ctr"/>
        <c:lblOffset val="100"/>
        <c:noMultiLvlLbl val="0"/>
      </c:catAx>
      <c:valAx>
        <c:axId val="2957690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9576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45772216265763"/>
          <c:y val="0.89444733805161514"/>
          <c:w val="0.57744300636868706"/>
          <c:h val="9.5176527058631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Summary!$A$102</c:f>
          <c:strCache>
            <c:ptCount val="1"/>
            <c:pt idx="0">
              <c:v>Cardinia 15-24 year old hospitalisation rate per 1,000 population</c:v>
            </c:pt>
          </c:strCache>
        </c:strRef>
      </c:tx>
      <c:layout>
        <c:manualLayout>
          <c:xMode val="edge"/>
          <c:yMode val="edge"/>
          <c:x val="1.5364979673690837E-2"/>
          <c:y val="1.2621632822213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1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Summary!$A$103</c:f>
              <c:strCache>
                <c:ptCount val="1"/>
                <c:pt idx="0">
                  <c:v>Illicit drugs (any)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Summary!$C$102:$L$102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Summary!$C$103:$L$103</c:f>
              <c:numCache>
                <c:formatCode>General</c:formatCode>
                <c:ptCount val="10"/>
                <c:pt idx="0">
                  <c:v>0</c:v>
                </c:pt>
                <c:pt idx="1">
                  <c:v>11.9</c:v>
                </c:pt>
                <c:pt idx="2">
                  <c:v>0</c:v>
                </c:pt>
                <c:pt idx="3">
                  <c:v>5.9</c:v>
                </c:pt>
                <c:pt idx="4">
                  <c:v>11.1</c:v>
                </c:pt>
                <c:pt idx="5">
                  <c:v>0</c:v>
                </c:pt>
                <c:pt idx="6">
                  <c:v>15.9</c:v>
                </c:pt>
                <c:pt idx="7">
                  <c:v>0</c:v>
                </c:pt>
                <c:pt idx="8">
                  <c:v>24.4</c:v>
                </c:pt>
                <c:pt idx="9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B-4B98-8302-4360ED1ADAD6}"/>
            </c:ext>
          </c:extLst>
        </c:ser>
        <c:ser>
          <c:idx val="1"/>
          <c:order val="1"/>
          <c:tx>
            <c:strRef>
              <c:f>Summary!$A$105</c:f>
              <c:strCache>
                <c:ptCount val="1"/>
                <c:pt idx="0">
                  <c:v>Alcohol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Summary!$C$102:$L$102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Summary!$C$105:$L$105</c:f>
              <c:numCache>
                <c:formatCode>General</c:formatCode>
                <c:ptCount val="10"/>
                <c:pt idx="0">
                  <c:v>14.9</c:v>
                </c:pt>
                <c:pt idx="1">
                  <c:v>0</c:v>
                </c:pt>
                <c:pt idx="2">
                  <c:v>16.600000000000001</c:v>
                </c:pt>
                <c:pt idx="3">
                  <c:v>9.8000000000000007</c:v>
                </c:pt>
                <c:pt idx="4">
                  <c:v>0</c:v>
                </c:pt>
                <c:pt idx="5">
                  <c:v>11.5</c:v>
                </c:pt>
                <c:pt idx="6">
                  <c:v>0</c:v>
                </c:pt>
                <c:pt idx="7">
                  <c:v>15.3</c:v>
                </c:pt>
                <c:pt idx="8">
                  <c:v>0</c:v>
                </c:pt>
                <c:pt idx="9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5-40E9-A63E-72833636E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222024"/>
        <c:axId val="383540776"/>
      </c:lineChart>
      <c:catAx>
        <c:axId val="38322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83540776"/>
        <c:crosses val="autoZero"/>
        <c:auto val="1"/>
        <c:lblAlgn val="ctr"/>
        <c:lblOffset val="100"/>
        <c:noMultiLvlLbl val="0"/>
      </c:catAx>
      <c:valAx>
        <c:axId val="38354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8322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35795291136484"/>
          <c:y val="0.88366887691670115"/>
          <c:w val="0.32523276150204816"/>
          <c:h val="8.4752175714877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Population 15-24yo immunised</a:t>
            </a:r>
            <a:r>
              <a:rPr lang="en-AU" sz="1200" b="1" baseline="0"/>
              <a:t> against HPV</a:t>
            </a:r>
            <a:endParaRPr lang="en-AU" sz="1200" b="1"/>
          </a:p>
        </c:rich>
      </c:tx>
      <c:layout>
        <c:manualLayout>
          <c:xMode val="edge"/>
          <c:yMode val="edge"/>
          <c:x val="4.4027777777777756E-2"/>
          <c:y val="3.1319910514541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Summary!$F$120</c:f>
              <c:strCache>
                <c:ptCount val="1"/>
                <c:pt idx="0">
                  <c:v>Cardinia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Summary!$E$121:$E$122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Summary!$F$121:$F$122</c:f>
              <c:numCache>
                <c:formatCode>0%</c:formatCode>
                <c:ptCount val="2"/>
                <c:pt idx="0">
                  <c:v>0.64086062136408617</c:v>
                </c:pt>
                <c:pt idx="1">
                  <c:v>0.70421304459626266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3-420A-9107-EF79A7DBF7E6}"/>
            </c:ext>
          </c:extLst>
        </c:ser>
        <c:ser>
          <c:idx val="1"/>
          <c:order val="1"/>
          <c:tx>
            <c:strRef>
              <c:f>Summary!$G$120</c:f>
              <c:strCache>
                <c:ptCount val="1"/>
                <c:pt idx="0">
                  <c:v>Mornington Peninsula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Summary!$E$121:$E$122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Summary!$G$121:$G$122</c:f>
              <c:numCache>
                <c:formatCode>0%</c:formatCode>
                <c:ptCount val="2"/>
                <c:pt idx="0">
                  <c:v>0.77218948521358177</c:v>
                </c:pt>
                <c:pt idx="1">
                  <c:v>0.83493903803131997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3-420A-9107-EF79A7DBF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3543912"/>
        <c:axId val="383545088"/>
      </c:barChart>
      <c:catAx>
        <c:axId val="38354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83545088"/>
        <c:crosses val="autoZero"/>
        <c:auto val="1"/>
        <c:lblAlgn val="ctr"/>
        <c:lblOffset val="100"/>
        <c:noMultiLvlLbl val="0"/>
      </c:catAx>
      <c:valAx>
        <c:axId val="3835450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354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Gender</a:t>
            </a:r>
          </a:p>
        </c:rich>
      </c:tx>
      <c:layout>
        <c:manualLayout>
          <c:xMode val="edge"/>
          <c:yMode val="edge"/>
          <c:x val="4.614566929133856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897944753994938E-2"/>
          <c:y val="0.13421194091922151"/>
          <c:w val="0.91020411049201011"/>
          <c:h val="0.50803455127654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Summary!$B$16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Summary!$C$14:$F$15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Summary!$C$16:$F$16</c:f>
              <c:numCache>
                <c:formatCode>0%</c:formatCode>
                <c:ptCount val="4"/>
                <c:pt idx="0">
                  <c:v>0.51360854277900769</c:v>
                </c:pt>
                <c:pt idx="1">
                  <c:v>0.50078190785516663</c:v>
                </c:pt>
                <c:pt idx="2">
                  <c:v>0.51553078750228398</c:v>
                </c:pt>
                <c:pt idx="3">
                  <c:v>0.5358789891163992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5-4225-BF88-726CDCDA8852}"/>
            </c:ext>
          </c:extLst>
        </c:ser>
        <c:ser>
          <c:idx val="1"/>
          <c:order val="1"/>
          <c:tx>
            <c:strRef>
              <c:f>Summary!$B$17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Summary!$C$14:$F$15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Summary!$C$17:$F$17</c:f>
              <c:numCache>
                <c:formatCode>0%</c:formatCode>
                <c:ptCount val="4"/>
                <c:pt idx="0">
                  <c:v>0.48639145722099231</c:v>
                </c:pt>
                <c:pt idx="1">
                  <c:v>0.49921809214483337</c:v>
                </c:pt>
                <c:pt idx="2">
                  <c:v>0.48446921249771607</c:v>
                </c:pt>
                <c:pt idx="3">
                  <c:v>0.4641210108836008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5-4225-BF88-726CDCDA8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5766312"/>
        <c:axId val="295765920"/>
      </c:barChart>
      <c:catAx>
        <c:axId val="295766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5765920"/>
        <c:crosses val="autoZero"/>
        <c:auto val="1"/>
        <c:lblAlgn val="ctr"/>
        <c:lblOffset val="100"/>
        <c:noMultiLvlLbl val="0"/>
      </c:catAx>
      <c:valAx>
        <c:axId val="295765920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957663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190660868883925"/>
          <c:y val="0.90580423662391008"/>
          <c:w val="0.47618639088024445"/>
          <c:h val="9.3885158230491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Student status</a:t>
            </a:r>
          </a:p>
        </c:rich>
      </c:tx>
      <c:layout>
        <c:manualLayout>
          <c:xMode val="edge"/>
          <c:yMode val="edge"/>
          <c:x val="3.0551181102362206E-2"/>
          <c:y val="5.919710855815153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589993502274202E-2"/>
          <c:y val="0.19109289617486339"/>
          <c:w val="0.9428200129954516"/>
          <c:h val="0.45248483283851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Summary!$A$24</c:f>
              <c:strCache>
                <c:ptCount val="1"/>
                <c:pt idx="0">
                  <c:v>Full 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Summary!$B$22:$E$23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Summary!$B$24:$E$24</c:f>
              <c:numCache>
                <c:formatCode>0%</c:formatCode>
                <c:ptCount val="4"/>
                <c:pt idx="0">
                  <c:v>0.90262952356157256</c:v>
                </c:pt>
                <c:pt idx="1">
                  <c:v>0.27131689717378232</c:v>
                </c:pt>
                <c:pt idx="2">
                  <c:v>0.91172439002101802</c:v>
                </c:pt>
                <c:pt idx="3">
                  <c:v>0.28733407079646017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A-4BE0-8AA8-1F201F77DEC8}"/>
            </c:ext>
          </c:extLst>
        </c:ser>
        <c:ser>
          <c:idx val="1"/>
          <c:order val="1"/>
          <c:tx>
            <c:strRef>
              <c:f>Summary!$A$25</c:f>
              <c:strCache>
                <c:ptCount val="1"/>
                <c:pt idx="0">
                  <c:v>Part time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Summary!$B$22:$E$23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Summary!$B$25:$E$25</c:f>
              <c:numCache>
                <c:formatCode>0%</c:formatCode>
                <c:ptCount val="4"/>
                <c:pt idx="0">
                  <c:v>1.8094246290028638E-2</c:v>
                </c:pt>
                <c:pt idx="1">
                  <c:v>0.10078171978352375</c:v>
                </c:pt>
                <c:pt idx="2">
                  <c:v>1.6631636662706752E-2</c:v>
                </c:pt>
                <c:pt idx="3">
                  <c:v>9.4118731563421834E-2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A-4BE0-8AA8-1F201F77DEC8}"/>
            </c:ext>
          </c:extLst>
        </c:ser>
        <c:ser>
          <c:idx val="2"/>
          <c:order val="2"/>
          <c:tx>
            <c:strRef>
              <c:f>Summary!$A$26</c:f>
              <c:strCache>
                <c:ptCount val="1"/>
                <c:pt idx="0">
                  <c:v>Not a student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824719360037412E-17"/>
                  <c:y val="-5.46448087431694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34-418D-B38D-8494E9A859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034-418D-B38D-8494E9A85985}"/>
                </c:ext>
              </c:extLst>
            </c:dLbl>
            <c:dLbl>
              <c:idx val="2"/>
              <c:layout>
                <c:manualLayout>
                  <c:x val="4.1797283176592754E-3"/>
                  <c:y val="-6.3218390804597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34-418D-B38D-8494E9A8598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034-418D-B38D-8494E9A859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Summary!$B$22:$E$23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Summary!$B$26:$E$26</c:f>
              <c:numCache>
                <c:formatCode>0%</c:formatCode>
                <c:ptCount val="4"/>
                <c:pt idx="0">
                  <c:v>7.9276230148398852E-2</c:v>
                </c:pt>
                <c:pt idx="1">
                  <c:v>0.62790138304269394</c:v>
                </c:pt>
                <c:pt idx="2">
                  <c:v>7.1643973316275242E-2</c:v>
                </c:pt>
                <c:pt idx="3">
                  <c:v>0.61854719764011801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AA-4BE0-8AA8-1F201F77D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95766704"/>
        <c:axId val="295767096"/>
      </c:barChart>
      <c:catAx>
        <c:axId val="2957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5767096"/>
        <c:crosses val="autoZero"/>
        <c:auto val="1"/>
        <c:lblAlgn val="ctr"/>
        <c:lblOffset val="100"/>
        <c:noMultiLvlLbl val="0"/>
      </c:catAx>
      <c:valAx>
        <c:axId val="29576709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957667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1072330692205792E-2"/>
          <c:y val="0.8892773643054751"/>
          <c:w val="0.89785500950312247"/>
          <c:h val="9.9838277288886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Study status of 18-24 year olds</a:t>
            </a:r>
          </a:p>
        </c:rich>
      </c:tx>
      <c:layout>
        <c:manualLayout>
          <c:xMode val="edge"/>
          <c:yMode val="edge"/>
          <c:x val="4.4027777777777756E-2"/>
          <c:y val="3.1319910514541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715447154471545E-2"/>
          <c:y val="0.14445726795298602"/>
          <c:w val="0.91056910569105687"/>
          <c:h val="0.61274840365087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Summary!$F$29</c:f>
              <c:strCache>
                <c:ptCount val="1"/>
                <c:pt idx="0">
                  <c:v>Cardinia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Summary!$E$30:$E$32</c:f>
              <c:strCache>
                <c:ptCount val="3"/>
                <c:pt idx="0">
                  <c:v>Still in school</c:v>
                </c:pt>
                <c:pt idx="1">
                  <c:v>TAFE</c:v>
                </c:pt>
                <c:pt idx="2">
                  <c:v>University</c:v>
                </c:pt>
              </c:strCache>
            </c:strRef>
          </c:cat>
          <c:val>
            <c:numRef>
              <c:f>Summary!$F$30:$F$32</c:f>
              <c:numCache>
                <c:formatCode>0%</c:formatCode>
                <c:ptCount val="3"/>
                <c:pt idx="0">
                  <c:v>5.8781103498016588E-2</c:v>
                </c:pt>
                <c:pt idx="1">
                  <c:v>0.10157470849861762</c:v>
                </c:pt>
                <c:pt idx="2">
                  <c:v>0.19449453059261931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7-4DEF-AA7A-DB911E74C5D3}"/>
            </c:ext>
          </c:extLst>
        </c:ser>
        <c:ser>
          <c:idx val="1"/>
          <c:order val="1"/>
          <c:tx>
            <c:strRef>
              <c:f>Summary!$G$29</c:f>
              <c:strCache>
                <c:ptCount val="1"/>
                <c:pt idx="0">
                  <c:v>Mornington Peninsula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Summary!$E$30:$E$32</c:f>
              <c:strCache>
                <c:ptCount val="3"/>
                <c:pt idx="0">
                  <c:v>Still in school</c:v>
                </c:pt>
                <c:pt idx="1">
                  <c:v>TAFE</c:v>
                </c:pt>
                <c:pt idx="2">
                  <c:v>University</c:v>
                </c:pt>
              </c:strCache>
            </c:strRef>
          </c:cat>
          <c:val>
            <c:numRef>
              <c:f>Summary!$G$30:$G$32</c:f>
              <c:numCache>
                <c:formatCode>0%</c:formatCode>
                <c:ptCount val="3"/>
                <c:pt idx="0">
                  <c:v>6.661745709540505E-2</c:v>
                </c:pt>
                <c:pt idx="1">
                  <c:v>0.1004797933198007</c:v>
                </c:pt>
                <c:pt idx="2">
                  <c:v>0.19468536630374608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0-4246-8C43-F7C9FA94F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3225160"/>
        <c:axId val="383228688"/>
      </c:barChart>
      <c:catAx>
        <c:axId val="38322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83228688"/>
        <c:crosses val="autoZero"/>
        <c:auto val="1"/>
        <c:lblAlgn val="ctr"/>
        <c:lblOffset val="100"/>
        <c:noMultiLvlLbl val="0"/>
      </c:catAx>
      <c:valAx>
        <c:axId val="3832286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322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522919770163873E-2"/>
          <c:y val="0.89732698007127609"/>
          <c:w val="0.93699255160672479"/>
          <c:h val="0.10265632635005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Employment status of 15-24 year olds</a:t>
            </a:r>
          </a:p>
        </c:rich>
      </c:tx>
      <c:layout>
        <c:manualLayout>
          <c:xMode val="edge"/>
          <c:yMode val="edge"/>
          <c:x val="4.4027777777777756E-2"/>
          <c:y val="3.1319910514541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18600191754554E-2"/>
          <c:y val="0.17594261450303006"/>
          <c:w val="0.91562799616490886"/>
          <c:h val="0.559631858844869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Summary!$B$38</c:f>
              <c:strCache>
                <c:ptCount val="1"/>
                <c:pt idx="0">
                  <c:v>Cardinia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Summary!$A$39:$A$42</c:f>
              <c:strCache>
                <c:ptCount val="4"/>
                <c:pt idx="0">
                  <c:v>Full time</c:v>
                </c:pt>
                <c:pt idx="1">
                  <c:v>Part time</c:v>
                </c:pt>
                <c:pt idx="2">
                  <c:v>Unemployed</c:v>
                </c:pt>
                <c:pt idx="3">
                  <c:v>Not in the labor force</c:v>
                </c:pt>
              </c:strCache>
            </c:strRef>
          </c:cat>
          <c:val>
            <c:numRef>
              <c:f>Summary!$B$39:$B$42</c:f>
              <c:numCache>
                <c:formatCode>0%</c:formatCode>
                <c:ptCount val="4"/>
                <c:pt idx="0">
                  <c:v>0.25622278813768173</c:v>
                </c:pt>
                <c:pt idx="1">
                  <c:v>0.27511706235110489</c:v>
                </c:pt>
                <c:pt idx="2">
                  <c:v>8.2970508502423393E-2</c:v>
                </c:pt>
                <c:pt idx="3">
                  <c:v>0.30206194035981271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9-4744-86C0-8FE80D4E1BE3}"/>
            </c:ext>
          </c:extLst>
        </c:ser>
        <c:ser>
          <c:idx val="1"/>
          <c:order val="1"/>
          <c:tx>
            <c:strRef>
              <c:f>Summary!$C$38</c:f>
              <c:strCache>
                <c:ptCount val="1"/>
                <c:pt idx="0">
                  <c:v>Mornington Peninsula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Summary!$A$39:$A$42</c:f>
              <c:strCache>
                <c:ptCount val="4"/>
                <c:pt idx="0">
                  <c:v>Full time</c:v>
                </c:pt>
                <c:pt idx="1">
                  <c:v>Part time</c:v>
                </c:pt>
                <c:pt idx="2">
                  <c:v>Unemployed</c:v>
                </c:pt>
                <c:pt idx="3">
                  <c:v>Not in the labor force</c:v>
                </c:pt>
              </c:strCache>
            </c:strRef>
          </c:cat>
          <c:val>
            <c:numRef>
              <c:f>Summary!$C$39:$C$42</c:f>
              <c:numCache>
                <c:formatCode>0%</c:formatCode>
                <c:ptCount val="4"/>
                <c:pt idx="0">
                  <c:v>0.24050400636124533</c:v>
                </c:pt>
                <c:pt idx="1">
                  <c:v>0.32160988439659915</c:v>
                </c:pt>
                <c:pt idx="2">
                  <c:v>6.8689216465838893E-2</c:v>
                </c:pt>
                <c:pt idx="3">
                  <c:v>0.28760168817664689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C-4E0A-A032-622304B61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3226336"/>
        <c:axId val="383223592"/>
      </c:barChart>
      <c:catAx>
        <c:axId val="3832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83223592"/>
        <c:crosses val="autoZero"/>
        <c:auto val="1"/>
        <c:lblAlgn val="ctr"/>
        <c:lblOffset val="100"/>
        <c:noMultiLvlLbl val="0"/>
      </c:catAx>
      <c:valAx>
        <c:axId val="3832235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322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271262354739864E-2"/>
          <c:y val="0.89871583460444404"/>
          <c:w val="0.88245451087073545"/>
          <c:h val="9.53438122792730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Personal weekly income of 15-24 year olds</a:t>
            </a:r>
          </a:p>
        </c:rich>
      </c:tx>
      <c:layout>
        <c:manualLayout>
          <c:xMode val="edge"/>
          <c:yMode val="edge"/>
          <c:x val="4.4027777777777756E-2"/>
          <c:y val="3.1319910514541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470684515474568E-2"/>
          <c:y val="0.1862094094327523"/>
          <c:w val="0.91305863096905082"/>
          <c:h val="0.54644351606002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Summary!$F$41</c:f>
              <c:strCache>
                <c:ptCount val="1"/>
                <c:pt idx="0">
                  <c:v>Cardinia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Summary!$E$42:$E$45</c:f>
              <c:strCache>
                <c:ptCount val="4"/>
                <c:pt idx="0">
                  <c:v>Negative / Nil</c:v>
                </c:pt>
                <c:pt idx="1">
                  <c:v>&lt;$400</c:v>
                </c:pt>
                <c:pt idx="2">
                  <c:v>$400-$649</c:v>
                </c:pt>
                <c:pt idx="3">
                  <c:v>$650+</c:v>
                </c:pt>
              </c:strCache>
            </c:strRef>
          </c:cat>
          <c:val>
            <c:numRef>
              <c:f>Summary!$F$42:$F$45</c:f>
              <c:numCache>
                <c:formatCode>0%</c:formatCode>
                <c:ptCount val="4"/>
                <c:pt idx="0">
                  <c:v>0.26374619873428123</c:v>
                </c:pt>
                <c:pt idx="1">
                  <c:v>0.29062217473493879</c:v>
                </c:pt>
                <c:pt idx="2">
                  <c:v>0.14070847374044546</c:v>
                </c:pt>
                <c:pt idx="3">
                  <c:v>0.21541875565053012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3-4E7E-A7C6-E38004471C5E}"/>
            </c:ext>
          </c:extLst>
        </c:ser>
        <c:ser>
          <c:idx val="1"/>
          <c:order val="1"/>
          <c:tx>
            <c:strRef>
              <c:f>Summary!$G$41</c:f>
              <c:strCache>
                <c:ptCount val="1"/>
                <c:pt idx="0">
                  <c:v>Mornington Peninsula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Summary!$E$42:$E$45</c:f>
              <c:strCache>
                <c:ptCount val="4"/>
                <c:pt idx="0">
                  <c:v>Negative / Nil</c:v>
                </c:pt>
                <c:pt idx="1">
                  <c:v>&lt;$400</c:v>
                </c:pt>
                <c:pt idx="2">
                  <c:v>$400-$649</c:v>
                </c:pt>
                <c:pt idx="3">
                  <c:v>$650+</c:v>
                </c:pt>
              </c:strCache>
            </c:strRef>
          </c:cat>
          <c:val>
            <c:numRef>
              <c:f>Summary!$G$42:$G$45</c:f>
              <c:numCache>
                <c:formatCode>0%</c:formatCode>
                <c:ptCount val="4"/>
                <c:pt idx="0">
                  <c:v>0.24628553959033936</c:v>
                </c:pt>
                <c:pt idx="1">
                  <c:v>0.32840110058086214</c:v>
                </c:pt>
                <c:pt idx="2">
                  <c:v>0.14050749006420055</c:v>
                </c:pt>
                <c:pt idx="3">
                  <c:v>0.19914399266279426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F-4ECA-8FB9-C77A743F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3223984"/>
        <c:axId val="383225944"/>
      </c:barChart>
      <c:catAx>
        <c:axId val="3832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83225944"/>
        <c:crosses val="autoZero"/>
        <c:auto val="1"/>
        <c:lblAlgn val="ctr"/>
        <c:lblOffset val="100"/>
        <c:noMultiLvlLbl val="0"/>
      </c:catAx>
      <c:valAx>
        <c:axId val="38322594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32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069528661547567E-2"/>
          <c:y val="0.89240324474685806"/>
          <c:w val="0.94957414286157071"/>
          <c:h val="0.10759689041239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Primary industries of employment</a:t>
            </a:r>
          </a:p>
        </c:rich>
      </c:tx>
      <c:layout>
        <c:manualLayout>
          <c:xMode val="edge"/>
          <c:yMode val="edge"/>
          <c:x val="4.4027777777777756E-2"/>
          <c:y val="3.1319910514541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Summary!$B$51</c:f>
              <c:strCache>
                <c:ptCount val="1"/>
                <c:pt idx="0">
                  <c:v>Cardinia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Summary!$A$52:$A$54</c:f>
              <c:strCache>
                <c:ptCount val="3"/>
                <c:pt idx="0">
                  <c:v>Construction</c:v>
                </c:pt>
                <c:pt idx="1">
                  <c:v>Retail</c:v>
                </c:pt>
                <c:pt idx="2">
                  <c:v>Accomodation</c:v>
                </c:pt>
              </c:strCache>
            </c:strRef>
          </c:cat>
          <c:val>
            <c:numRef>
              <c:f>Summary!$B$52:$B$54</c:f>
              <c:numCache>
                <c:formatCode>0%</c:formatCode>
                <c:ptCount val="3"/>
                <c:pt idx="0">
                  <c:v>0.16892934279543351</c:v>
                </c:pt>
                <c:pt idx="1">
                  <c:v>0.19546436285097193</c:v>
                </c:pt>
                <c:pt idx="2">
                  <c:v>0.19716136994754704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7-40A2-A205-32D1B7BF4704}"/>
            </c:ext>
          </c:extLst>
        </c:ser>
        <c:ser>
          <c:idx val="1"/>
          <c:order val="1"/>
          <c:tx>
            <c:strRef>
              <c:f>Summary!$C$51</c:f>
              <c:strCache>
                <c:ptCount val="1"/>
                <c:pt idx="0">
                  <c:v>Mornington Peninsula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Summary!$A$52:$A$54</c:f>
              <c:strCache>
                <c:ptCount val="3"/>
                <c:pt idx="0">
                  <c:v>Construction</c:v>
                </c:pt>
                <c:pt idx="1">
                  <c:v>Retail</c:v>
                </c:pt>
                <c:pt idx="2">
                  <c:v>Accomodation</c:v>
                </c:pt>
              </c:strCache>
            </c:strRef>
          </c:cat>
          <c:val>
            <c:numRef>
              <c:f>Summary!$C$52:$C$54</c:f>
              <c:numCache>
                <c:formatCode>0%</c:formatCode>
                <c:ptCount val="3"/>
                <c:pt idx="0">
                  <c:v>0.1355185384202042</c:v>
                </c:pt>
                <c:pt idx="1">
                  <c:v>0.23879634605051048</c:v>
                </c:pt>
                <c:pt idx="2">
                  <c:v>0.20655561526061259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407-8DA8-7CB5FED97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3226728"/>
        <c:axId val="383227120"/>
      </c:barChart>
      <c:catAx>
        <c:axId val="38322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83227120"/>
        <c:crosses val="autoZero"/>
        <c:auto val="1"/>
        <c:lblAlgn val="ctr"/>
        <c:lblOffset val="100"/>
        <c:noMultiLvlLbl val="0"/>
      </c:catAx>
      <c:valAx>
        <c:axId val="3832271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83226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Level of engagement</a:t>
            </a:r>
          </a:p>
        </c:rich>
      </c:tx>
      <c:layout>
        <c:manualLayout>
          <c:xMode val="edge"/>
          <c:yMode val="edge"/>
          <c:x val="4.614566929133856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497318853389776E-2"/>
          <c:y val="0.19031468000955012"/>
          <c:w val="0.91100536229322049"/>
          <c:h val="0.47703608185986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Summary!$A$58</c:f>
              <c:strCache>
                <c:ptCount val="1"/>
                <c:pt idx="0">
                  <c:v>Fully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Summary!$B$56:$E$57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Summary!$B$58:$E$58</c:f>
              <c:numCache>
                <c:formatCode>0%</c:formatCode>
                <c:ptCount val="4"/>
                <c:pt idx="0">
                  <c:v>0.94878779624080634</c:v>
                </c:pt>
                <c:pt idx="1">
                  <c:v>0.69667219176335582</c:v>
                </c:pt>
                <c:pt idx="2">
                  <c:v>0.95367381811277763</c:v>
                </c:pt>
                <c:pt idx="3">
                  <c:v>0.68937329700272476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B-4C7D-9D6A-C0781C841C44}"/>
            </c:ext>
          </c:extLst>
        </c:ser>
        <c:ser>
          <c:idx val="1"/>
          <c:order val="1"/>
          <c:tx>
            <c:strRef>
              <c:f>Summary!$A$59</c:f>
              <c:strCache>
                <c:ptCount val="1"/>
                <c:pt idx="0">
                  <c:v>Partially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14-4FD3-9504-3D6A4F74F13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14-4FD3-9504-3D6A4F74F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Summary!$B$56:$E$57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Summary!$B$59:$E$59</c:f>
              <c:numCache>
                <c:formatCode>0%</c:formatCode>
                <c:ptCount val="4"/>
                <c:pt idx="0">
                  <c:v>2.9147371288477254E-2</c:v>
                </c:pt>
                <c:pt idx="1">
                  <c:v>0.17123549662119086</c:v>
                </c:pt>
                <c:pt idx="2">
                  <c:v>2.7529903170685401E-2</c:v>
                </c:pt>
                <c:pt idx="3">
                  <c:v>0.1923900350330868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B-4C7D-9D6A-C0781C841C44}"/>
            </c:ext>
          </c:extLst>
        </c:ser>
        <c:ser>
          <c:idx val="2"/>
          <c:order val="2"/>
          <c:tx>
            <c:strRef>
              <c:f>Summary!$A$60</c:f>
              <c:strCache>
                <c:ptCount val="1"/>
                <c:pt idx="0">
                  <c:v>Not engaged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16636528028933E-3"/>
                  <c:y val="-4.59770114942528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17B-4C7D-9D6A-C0781C841C44}"/>
                </c:ext>
              </c:extLst>
            </c:dLbl>
            <c:dLbl>
              <c:idx val="1"/>
              <c:layout>
                <c:manualLayout>
                  <c:x val="3.3270792322834647E-3"/>
                  <c:y val="2.28126064394622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14-4FD3-9504-3D6A4F74F137}"/>
                </c:ext>
              </c:extLst>
            </c:dLbl>
            <c:dLbl>
              <c:idx val="2"/>
              <c:layout>
                <c:manualLayout>
                  <c:x val="4.246284501061571E-3"/>
                  <c:y val="-4.5770695622471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14-4FD3-9504-3D6A4F74F13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Franklin Gothic Book" panose="020B0503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D14-4FD3-9504-3D6A4F74F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Summary!$B$56:$E$57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Summary!$B$60:$E$60</c:f>
              <c:numCache>
                <c:formatCode>0%</c:formatCode>
                <c:ptCount val="4"/>
                <c:pt idx="0">
                  <c:v>2.2064832470716427E-2</c:v>
                </c:pt>
                <c:pt idx="1">
                  <c:v>0.13209231161545326</c:v>
                </c:pt>
                <c:pt idx="2">
                  <c:v>1.8796278716536927E-2</c:v>
                </c:pt>
                <c:pt idx="3">
                  <c:v>0.1182366679641884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B-4C7D-9D6A-C0781C841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83227904"/>
        <c:axId val="383222808"/>
      </c:barChart>
      <c:catAx>
        <c:axId val="3832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83222808"/>
        <c:crosses val="autoZero"/>
        <c:auto val="1"/>
        <c:lblAlgn val="ctr"/>
        <c:lblOffset val="100"/>
        <c:noMultiLvlLbl val="0"/>
      </c:catAx>
      <c:valAx>
        <c:axId val="383222808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38322790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AU" sz="1200" b="1"/>
              <a:t>Living arrangements</a:t>
            </a:r>
          </a:p>
        </c:rich>
      </c:tx>
      <c:layout>
        <c:manualLayout>
          <c:xMode val="edge"/>
          <c:yMode val="edge"/>
          <c:x val="1.3079438881773202E-2"/>
          <c:y val="2.7741138673404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Summary!$A$72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Summary!$B$70:$E$71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Summary!$B$72:$E$72</c:f>
              <c:numCache>
                <c:formatCode>0%</c:formatCode>
                <c:ptCount val="4"/>
                <c:pt idx="0">
                  <c:v>1.5606710885680843E-3</c:v>
                </c:pt>
                <c:pt idx="1">
                  <c:v>0.14829080404429465</c:v>
                </c:pt>
                <c:pt idx="2">
                  <c:v>1.0966916468652897E-3</c:v>
                </c:pt>
                <c:pt idx="3">
                  <c:v>9.2309111029140536E-2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8-43EA-916C-BA3FF97A5E4B}"/>
            </c:ext>
          </c:extLst>
        </c:ser>
        <c:ser>
          <c:idx val="1"/>
          <c:order val="1"/>
          <c:tx>
            <c:strRef>
              <c:f>Summary!$A$73</c:f>
              <c:strCache>
                <c:ptCount val="1"/>
                <c:pt idx="0">
                  <c:v>Live with parents - dependant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Summary!$B$70:$E$71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Summary!$B$73:$E$73</c:f>
              <c:numCache>
                <c:formatCode>0%</c:formatCode>
                <c:ptCount val="4"/>
                <c:pt idx="0">
                  <c:v>0.88633112238262457</c:v>
                </c:pt>
                <c:pt idx="1">
                  <c:v>0.21762156957149736</c:v>
                </c:pt>
                <c:pt idx="2">
                  <c:v>0.88009504660939497</c:v>
                </c:pt>
                <c:pt idx="3">
                  <c:v>0.2235337513832534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F8-43EA-916C-BA3FF97A5E4B}"/>
            </c:ext>
          </c:extLst>
        </c:ser>
        <c:ser>
          <c:idx val="2"/>
          <c:order val="2"/>
          <c:tx>
            <c:strRef>
              <c:f>Summary!$A$74</c:f>
              <c:strCache>
                <c:ptCount val="1"/>
                <c:pt idx="0">
                  <c:v>Live with parents - no dependant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Summary!$B$70:$E$71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Summary!$B$74:$E$74</c:f>
              <c:numCache>
                <c:formatCode>0%</c:formatCode>
                <c:ptCount val="4"/>
                <c:pt idx="0">
                  <c:v>4.3958902328001037E-2</c:v>
                </c:pt>
                <c:pt idx="1">
                  <c:v>0.38986519017814153</c:v>
                </c:pt>
                <c:pt idx="2">
                  <c:v>3.582526046426613E-2</c:v>
                </c:pt>
                <c:pt idx="3">
                  <c:v>0.39671707856879379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F8-43EA-916C-BA3FF97A5E4B}"/>
            </c:ext>
          </c:extLst>
        </c:ser>
        <c:ser>
          <c:idx val="3"/>
          <c:order val="3"/>
          <c:tx>
            <c:strRef>
              <c:f>Summary!$A$75</c:f>
              <c:strCache>
                <c:ptCount val="1"/>
                <c:pt idx="0">
                  <c:v>Group/lone person household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Summary!$B$70:$E$71</c:f>
              <c:multiLvlStrCache>
                <c:ptCount val="4"/>
                <c:lvl>
                  <c:pt idx="0">
                    <c:v>12-17</c:v>
                  </c:pt>
                  <c:pt idx="1">
                    <c:v>18-24</c:v>
                  </c:pt>
                  <c:pt idx="2">
                    <c:v>12-17</c:v>
                  </c:pt>
                  <c:pt idx="3">
                    <c:v>18-24</c:v>
                  </c:pt>
                </c:lvl>
                <c:lvl>
                  <c:pt idx="0">
                    <c:v>Cardinia</c:v>
                  </c:pt>
                  <c:pt idx="2">
                    <c:v>Mornington Peninsula</c:v>
                  </c:pt>
                </c:lvl>
              </c:multiLvlStrCache>
            </c:multiLvlStrRef>
          </c:cat>
          <c:val>
            <c:numRef>
              <c:f>Summary!$B$75:$E$75</c:f>
              <c:numCache>
                <c:formatCode>0%</c:formatCode>
                <c:ptCount val="4"/>
                <c:pt idx="0">
                  <c:v>1.5606710885680843E-3</c:v>
                </c:pt>
                <c:pt idx="1">
                  <c:v>5.3201733269138178E-2</c:v>
                </c:pt>
                <c:pt idx="2">
                  <c:v>9.1390970572107475E-4</c:v>
                </c:pt>
                <c:pt idx="3">
                  <c:v>5.4592401327923278E-2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F8-43EA-916C-BA3FF97A5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3229080"/>
        <c:axId val="383223200"/>
      </c:barChart>
      <c:catAx>
        <c:axId val="38322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83223200"/>
        <c:crosses val="autoZero"/>
        <c:auto val="1"/>
        <c:lblAlgn val="ctr"/>
        <c:lblOffset val="100"/>
        <c:noMultiLvlLbl val="0"/>
      </c:catAx>
      <c:valAx>
        <c:axId val="383223200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383229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5</xdr:row>
      <xdr:rowOff>22225</xdr:rowOff>
    </xdr:from>
    <xdr:to>
      <xdr:col>4</xdr:col>
      <xdr:colOff>174624</xdr:colOff>
      <xdr:row>17</xdr:row>
      <xdr:rowOff>22225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146051</xdr:colOff>
      <xdr:row>5</xdr:row>
      <xdr:rowOff>19050</xdr:rowOff>
    </xdr:from>
    <xdr:to>
      <xdr:col>7</xdr:col>
      <xdr:colOff>107951</xdr:colOff>
      <xdr:row>17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20</xdr:row>
      <xdr:rowOff>79376</xdr:rowOff>
    </xdr:from>
    <xdr:to>
      <xdr:col>3</xdr:col>
      <xdr:colOff>358775</xdr:colOff>
      <xdr:row>32</xdr:row>
      <xdr:rowOff>127000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654050</xdr:colOff>
      <xdr:row>20</xdr:row>
      <xdr:rowOff>111125</xdr:rowOff>
    </xdr:from>
    <xdr:to>
      <xdr:col>6</xdr:col>
      <xdr:colOff>835025</xdr:colOff>
      <xdr:row>31</xdr:row>
      <xdr:rowOff>161924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36</xdr:row>
      <xdr:rowOff>260350</xdr:rowOff>
    </xdr:from>
    <xdr:to>
      <xdr:col>3</xdr:col>
      <xdr:colOff>669925</xdr:colOff>
      <xdr:row>49</xdr:row>
      <xdr:rowOff>31750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649008</xdr:colOff>
      <xdr:row>36</xdr:row>
      <xdr:rowOff>239058</xdr:rowOff>
    </xdr:from>
    <xdr:to>
      <xdr:col>7</xdr:col>
      <xdr:colOff>62753</xdr:colOff>
      <xdr:row>49</xdr:row>
      <xdr:rowOff>50800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31750</xdr:colOff>
      <xdr:row>50</xdr:row>
      <xdr:rowOff>46878</xdr:rowOff>
    </xdr:from>
    <xdr:to>
      <xdr:col>3</xdr:col>
      <xdr:colOff>174625</xdr:colOff>
      <xdr:row>62</xdr:row>
      <xdr:rowOff>27828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169395</xdr:colOff>
      <xdr:row>50</xdr:row>
      <xdr:rowOff>15128</xdr:rowOff>
    </xdr:from>
    <xdr:to>
      <xdr:col>6</xdr:col>
      <xdr:colOff>404345</xdr:colOff>
      <xdr:row>63</xdr:row>
      <xdr:rowOff>35859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69</xdr:row>
      <xdr:rowOff>33244</xdr:rowOff>
    </xdr:from>
    <xdr:to>
      <xdr:col>6</xdr:col>
      <xdr:colOff>882651</xdr:colOff>
      <xdr:row>81</xdr:row>
      <xdr:rowOff>84044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101</xdr:row>
      <xdr:rowOff>15874</xdr:rowOff>
    </xdr:from>
    <xdr:to>
      <xdr:col>6</xdr:col>
      <xdr:colOff>882650</xdr:colOff>
      <xdr:row>114</xdr:row>
      <xdr:rowOff>63499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133350</xdr:colOff>
      <xdr:row>115</xdr:row>
      <xdr:rowOff>165100</xdr:rowOff>
    </xdr:from>
    <xdr:to>
      <xdr:col>7</xdr:col>
      <xdr:colOff>292100</xdr:colOff>
      <xdr:row>126</xdr:row>
      <xdr:rowOff>146050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rdinia full palette">
      <a:dk1>
        <a:sysClr val="windowText" lastClr="000000"/>
      </a:dk1>
      <a:lt1>
        <a:sysClr val="window" lastClr="FFFFFF"/>
      </a:lt1>
      <a:dk2>
        <a:srgbClr val="031F73"/>
      </a:dk2>
      <a:lt2>
        <a:srgbClr val="EBB700"/>
      </a:lt2>
      <a:accent1>
        <a:srgbClr val="C1BB00"/>
      </a:accent1>
      <a:accent2>
        <a:srgbClr val="53682B"/>
      </a:accent2>
      <a:accent3>
        <a:srgbClr val="C75B12"/>
      </a:accent3>
      <a:accent4>
        <a:srgbClr val="A22B38"/>
      </a:accent4>
      <a:accent5>
        <a:srgbClr val="5E2750"/>
      </a:accent5>
      <a:accent6>
        <a:srgbClr val="0073C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aodstats.org.au/VicLGA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orecast.id.com.a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8"/>
  <sheetViews>
    <sheetView showGridLines="0" tabSelected="1" zoomScaleNormal="100" workbookViewId="0">
      <selection activeCell="J43" sqref="J43"/>
    </sheetView>
  </sheetViews>
  <sheetFormatPr defaultColWidth="8.7265625" defaultRowHeight="15" x14ac:dyDescent="0.4"/>
  <cols>
    <col min="1" max="1" width="11.54296875" style="11" customWidth="1"/>
    <col min="2" max="2" width="16.7265625" style="11" customWidth="1"/>
    <col min="3" max="3" width="12" style="11" customWidth="1"/>
    <col min="4" max="4" width="15.1796875" style="11" customWidth="1"/>
    <col min="5" max="5" width="15.54296875" style="11" customWidth="1"/>
    <col min="6" max="6" width="8.7265625" style="11"/>
    <col min="7" max="7" width="12.81640625" style="11" customWidth="1"/>
    <col min="8" max="15" width="8.7265625" style="11"/>
    <col min="16" max="16" width="2.7265625" style="11" customWidth="1"/>
    <col min="17" max="17" width="5.6328125" style="11" hidden="1" customWidth="1"/>
    <col min="18" max="18" width="5.6328125" style="11" customWidth="1"/>
    <col min="19" max="16384" width="8.7265625" style="11"/>
  </cols>
  <sheetData>
    <row r="1" spans="1:17" x14ac:dyDescent="0.4">
      <c r="A1" s="23" t="s">
        <v>578</v>
      </c>
    </row>
    <row r="2" spans="1:17" x14ac:dyDescent="0.4">
      <c r="A2" s="11" t="s">
        <v>563</v>
      </c>
      <c r="B2" s="41" t="s">
        <v>7</v>
      </c>
      <c r="C2" s="68" t="s">
        <v>562</v>
      </c>
      <c r="D2" s="68"/>
      <c r="E2" s="41" t="s">
        <v>12</v>
      </c>
      <c r="F2" s="66"/>
      <c r="Q2" s="11" t="s">
        <v>7</v>
      </c>
    </row>
    <row r="3" spans="1:17" x14ac:dyDescent="0.4">
      <c r="Q3" s="11" t="s">
        <v>8</v>
      </c>
    </row>
    <row r="4" spans="1:17" ht="25" x14ac:dyDescent="0.5">
      <c r="A4" s="17" t="s">
        <v>575</v>
      </c>
      <c r="Q4" s="11" t="s">
        <v>9</v>
      </c>
    </row>
    <row r="5" spans="1:17" ht="19" x14ac:dyDescent="0.5">
      <c r="A5" s="15" t="s">
        <v>564</v>
      </c>
      <c r="B5" s="16"/>
      <c r="C5" s="16"/>
      <c r="D5" s="16"/>
      <c r="E5" s="16"/>
      <c r="F5" s="16"/>
      <c r="G5" s="16"/>
      <c r="Q5" s="11" t="s">
        <v>10</v>
      </c>
    </row>
    <row r="6" spans="1:17" ht="19" x14ac:dyDescent="0.5">
      <c r="A6" s="20" t="s">
        <v>579</v>
      </c>
      <c r="C6" s="21" t="str">
        <f>B2</f>
        <v>Cardinia</v>
      </c>
      <c r="D6" s="21" t="str">
        <f>E2</f>
        <v>Mornington Peninsula</v>
      </c>
      <c r="E6" s="21"/>
      <c r="Q6" s="11" t="s">
        <v>11</v>
      </c>
    </row>
    <row r="7" spans="1:17" x14ac:dyDescent="0.4">
      <c r="A7" s="68" t="s">
        <v>572</v>
      </c>
      <c r="B7" s="68"/>
      <c r="C7" s="18">
        <f>VLOOKUP(Summary!C6,Population!$A$4:$B$17,2,FALSE)</f>
        <v>7675</v>
      </c>
      <c r="D7" s="18">
        <f>VLOOKUP(Summary!D6,Population!$A$4:$B$17,2,FALSE)</f>
        <v>10947</v>
      </c>
      <c r="Q7" s="11" t="s">
        <v>12</v>
      </c>
    </row>
    <row r="8" spans="1:17" x14ac:dyDescent="0.4">
      <c r="A8" s="68" t="s">
        <v>573</v>
      </c>
      <c r="B8" s="68"/>
      <c r="C8" s="18">
        <f>VLOOKUP(C6,Population!$A$3:$C$17,3,FALSE)</f>
        <v>8311</v>
      </c>
      <c r="D8" s="18">
        <f>VLOOKUP(D6,Population!$A$3:$C$17,3,FALSE)</f>
        <v>10840</v>
      </c>
      <c r="Q8" s="11" t="s">
        <v>13</v>
      </c>
    </row>
    <row r="9" spans="1:17" x14ac:dyDescent="0.4">
      <c r="A9" s="68" t="s">
        <v>574</v>
      </c>
      <c r="B9" s="68"/>
      <c r="C9" s="18">
        <f>VLOOKUP(C6,Population!$A$21:$F$32,4,FALSE)</f>
        <v>33225</v>
      </c>
      <c r="D9" s="18">
        <f>VLOOKUP(D6,Population!$A$21:$F$32,4,FALSE)</f>
        <v>23084</v>
      </c>
      <c r="Q9" s="11" t="s">
        <v>14</v>
      </c>
    </row>
    <row r="10" spans="1:17" x14ac:dyDescent="0.4">
      <c r="B10" s="11" t="s">
        <v>642</v>
      </c>
      <c r="C10" s="13">
        <f>VLOOKUP(C6,Population!$A$3:$G$17,7,FALSE)</f>
        <v>8.1536173377244239E-2</v>
      </c>
      <c r="D10" s="13">
        <f>VLOOKUP(D6,Population!$A$3:$G$17,7,FALSE)</f>
        <v>7.062762910010581E-2</v>
      </c>
      <c r="E10" s="35"/>
      <c r="Q10" s="11" t="s">
        <v>15</v>
      </c>
    </row>
    <row r="11" spans="1:17" x14ac:dyDescent="0.4">
      <c r="B11" s="11" t="s">
        <v>535</v>
      </c>
      <c r="C11" s="13">
        <f>VLOOKUP(C6,Population!$A$3:$H$17,8,FALSE)</f>
        <v>8.8292786571762455E-2</v>
      </c>
      <c r="D11" s="13">
        <f>VLOOKUP(D6,Population!$A$3:$H$17,8,FALSE)</f>
        <v>6.9937288704224623E-2</v>
      </c>
      <c r="E11" s="35"/>
      <c r="Q11" s="11" t="s">
        <v>16</v>
      </c>
    </row>
    <row r="12" spans="1:17" x14ac:dyDescent="0.4">
      <c r="B12" s="11" t="s">
        <v>643</v>
      </c>
      <c r="C12" s="13">
        <f>VLOOKUP(C6,Population!$A$3:$I$17,9,FALSE)</f>
        <v>0.16990332518856899</v>
      </c>
      <c r="D12" s="13">
        <f>VLOOKUP(D6,Population!$A$3:$I$17,9,FALSE)</f>
        <v>0.14055846602492966</v>
      </c>
      <c r="E12" s="35"/>
      <c r="Q12" s="11" t="s">
        <v>567</v>
      </c>
    </row>
    <row r="13" spans="1:17" x14ac:dyDescent="0.4">
      <c r="B13" s="11" t="s">
        <v>644</v>
      </c>
      <c r="C13" s="13">
        <f>VLOOKUP(C6,Population!$A$21:$F$32,6,FALSE)</f>
        <v>0.17921968638577679</v>
      </c>
      <c r="D13" s="13">
        <f>VLOOKUP(D6,Population!$A$21:$F$32,6,FALSE)</f>
        <v>0.14350188360209373</v>
      </c>
      <c r="E13" s="13"/>
      <c r="Q13" s="11" t="s">
        <v>637</v>
      </c>
    </row>
    <row r="14" spans="1:17" x14ac:dyDescent="0.4">
      <c r="C14" s="11" t="str">
        <f>B2</f>
        <v>Cardinia</v>
      </c>
      <c r="E14" s="11" t="str">
        <f>E2</f>
        <v>Mornington Peninsula</v>
      </c>
    </row>
    <row r="15" spans="1:17" x14ac:dyDescent="0.4">
      <c r="C15" s="12" t="s">
        <v>6</v>
      </c>
      <c r="D15" s="11" t="s">
        <v>4</v>
      </c>
      <c r="E15" s="12" t="s">
        <v>6</v>
      </c>
      <c r="F15" s="11" t="s">
        <v>4</v>
      </c>
      <c r="G15" s="12"/>
    </row>
    <row r="16" spans="1:17" x14ac:dyDescent="0.4">
      <c r="A16" s="19"/>
      <c r="B16" s="11" t="s">
        <v>17</v>
      </c>
      <c r="C16" s="13">
        <f>VLOOKUP(C14,Sex!$A$5:$M$15,10,FALSE)</f>
        <v>0.51360854277900769</v>
      </c>
      <c r="D16" s="13">
        <f>VLOOKUP(C14,Sex!$A$5:$M$15,12,FALSE)</f>
        <v>0.50078190785516663</v>
      </c>
      <c r="E16" s="13">
        <f>VLOOKUP(E14,Sex!$A$5:$M$16,10,FALSE)</f>
        <v>0.51553078750228398</v>
      </c>
      <c r="F16" s="13">
        <f>VLOOKUP(E14,Sex!$A$5:$M$16,12,FALSE)</f>
        <v>0.5358789891163992</v>
      </c>
      <c r="G16" s="13"/>
      <c r="H16" s="13"/>
    </row>
    <row r="17" spans="1:8" x14ac:dyDescent="0.4">
      <c r="A17" s="19"/>
      <c r="B17" s="11" t="s">
        <v>18</v>
      </c>
      <c r="C17" s="13">
        <f>VLOOKUP(C14,Sex!$A$5:$M$15,11,FALSE)</f>
        <v>0.48639145722099231</v>
      </c>
      <c r="D17" s="13">
        <f>VLOOKUP(C14,Sex!$A$5:$M$15,13,FALSE)</f>
        <v>0.49921809214483337</v>
      </c>
      <c r="E17" s="13">
        <f>VLOOKUP(E14,Sex!$A$5:$M$16,11,FALSE)</f>
        <v>0.48446921249771607</v>
      </c>
      <c r="F17" s="13">
        <f>VLOOKUP(E14,Sex!$A$5:$M$16,13,FALSE)</f>
        <v>0.4641210108836008</v>
      </c>
      <c r="G17" s="13"/>
      <c r="H17" s="13"/>
    </row>
    <row r="18" spans="1:8" x14ac:dyDescent="0.4">
      <c r="A18" s="19"/>
      <c r="C18" s="13"/>
      <c r="D18" s="13"/>
    </row>
    <row r="19" spans="1:8" x14ac:dyDescent="0.4">
      <c r="A19" s="19"/>
      <c r="C19" s="13"/>
      <c r="D19" s="13"/>
    </row>
    <row r="20" spans="1:8" ht="19" x14ac:dyDescent="0.5">
      <c r="A20" s="15" t="s">
        <v>0</v>
      </c>
      <c r="B20" s="14"/>
      <c r="C20" s="14"/>
      <c r="D20" s="14"/>
      <c r="E20" s="14"/>
      <c r="F20" s="14"/>
      <c r="G20" s="14"/>
    </row>
    <row r="22" spans="1:8" x14ac:dyDescent="0.4">
      <c r="A22" s="22"/>
      <c r="B22" s="22" t="str">
        <f>B2</f>
        <v>Cardinia</v>
      </c>
      <c r="C22" s="22"/>
      <c r="D22" s="22" t="str">
        <f>E2</f>
        <v>Mornington Peninsula</v>
      </c>
      <c r="E22" s="22"/>
      <c r="F22" s="22"/>
      <c r="G22" s="22"/>
    </row>
    <row r="23" spans="1:8" x14ac:dyDescent="0.4">
      <c r="A23" s="22"/>
      <c r="B23" s="38" t="s">
        <v>6</v>
      </c>
      <c r="C23" s="22" t="s">
        <v>4</v>
      </c>
      <c r="D23" s="38" t="s">
        <v>6</v>
      </c>
      <c r="E23" s="22" t="s">
        <v>4</v>
      </c>
      <c r="F23" s="38"/>
      <c r="G23" s="22"/>
    </row>
    <row r="24" spans="1:8" x14ac:dyDescent="0.4">
      <c r="A24" s="22" t="s">
        <v>580</v>
      </c>
      <c r="B24" s="39">
        <f>VLOOKUP(B22,Education!A20:X31,19,FALSE)</f>
        <v>0.90262952356157256</v>
      </c>
      <c r="C24" s="39">
        <f>VLOOKUP(B22,Education!A20:X31,22,FALSE)</f>
        <v>0.27131689717378232</v>
      </c>
      <c r="D24" s="39">
        <f>VLOOKUP(D22,Education!A20:X31,19,FALSE)</f>
        <v>0.91172439002101802</v>
      </c>
      <c r="E24" s="39">
        <f>VLOOKUP(D22,Education!A20:X31,22,FALSE)</f>
        <v>0.28733407079646017</v>
      </c>
      <c r="F24" s="39"/>
      <c r="G24" s="39"/>
    </row>
    <row r="25" spans="1:8" x14ac:dyDescent="0.4">
      <c r="A25" s="22" t="s">
        <v>581</v>
      </c>
      <c r="B25" s="39">
        <f>VLOOKUP(B22,Education!A20:X31,20,FALSE)</f>
        <v>1.8094246290028638E-2</v>
      </c>
      <c r="C25" s="39">
        <f>VLOOKUP(B22,Education!A20:X31,23,FALSE)</f>
        <v>0.10078171978352375</v>
      </c>
      <c r="D25" s="39">
        <f>VLOOKUP(D22,Education!A20:X31,20,FALSE)</f>
        <v>1.6631636662706752E-2</v>
      </c>
      <c r="E25" s="39">
        <f>VLOOKUP(D22,Education!A20:X31,23,FALSE)</f>
        <v>9.4118731563421834E-2</v>
      </c>
      <c r="F25" s="39"/>
      <c r="G25" s="39"/>
    </row>
    <row r="26" spans="1:8" x14ac:dyDescent="0.4">
      <c r="A26" s="22" t="s">
        <v>584</v>
      </c>
      <c r="B26" s="39">
        <f>VLOOKUP(B22,Education!A20:X31,21,FALSE)</f>
        <v>7.9276230148398852E-2</v>
      </c>
      <c r="C26" s="39">
        <f>VLOOKUP(B22,Education!A20:X31,24,FALSE)</f>
        <v>0.62790138304269394</v>
      </c>
      <c r="D26" s="39">
        <f>VLOOKUP(D22,Education!A20:X31,21,FALSE)</f>
        <v>7.1643973316275242E-2</v>
      </c>
      <c r="E26" s="39">
        <f>VLOOKUP(D22,Education!A20:X31,24,FALSE)</f>
        <v>0.61854719764011801</v>
      </c>
      <c r="F26" s="39"/>
      <c r="G26" s="39"/>
    </row>
    <row r="27" spans="1:8" x14ac:dyDescent="0.4">
      <c r="A27" s="22"/>
      <c r="B27" s="22"/>
      <c r="C27" s="22"/>
      <c r="D27" s="22"/>
      <c r="E27" s="22"/>
      <c r="F27" s="22"/>
      <c r="G27" s="22"/>
    </row>
    <row r="28" spans="1:8" x14ac:dyDescent="0.4">
      <c r="A28" s="22"/>
      <c r="B28" s="22"/>
      <c r="C28" s="22"/>
      <c r="D28" s="22"/>
      <c r="E28" s="22"/>
      <c r="F28" s="22"/>
      <c r="G28" s="22"/>
    </row>
    <row r="29" spans="1:8" x14ac:dyDescent="0.4">
      <c r="A29" s="22"/>
      <c r="B29" s="22"/>
      <c r="C29" s="22"/>
      <c r="D29" s="22"/>
      <c r="E29" s="22"/>
      <c r="F29" s="22" t="str">
        <f>B2</f>
        <v>Cardinia</v>
      </c>
      <c r="G29" s="22" t="str">
        <f>E2</f>
        <v>Mornington Peninsula</v>
      </c>
    </row>
    <row r="30" spans="1:8" x14ac:dyDescent="0.4">
      <c r="A30" s="22"/>
      <c r="B30" s="22"/>
      <c r="C30" s="22"/>
      <c r="D30" s="22"/>
      <c r="E30" s="40" t="s">
        <v>585</v>
      </c>
      <c r="F30" s="39">
        <f>VLOOKUP(F29,Education!A36:AD47,28,FALSE)</f>
        <v>5.8781103498016588E-2</v>
      </c>
      <c r="G30" s="39">
        <f>VLOOKUP(G29,Education!A36:AD47,28,FALSE)</f>
        <v>6.661745709540505E-2</v>
      </c>
    </row>
    <row r="31" spans="1:8" x14ac:dyDescent="0.4">
      <c r="A31" s="22"/>
      <c r="B31" s="22"/>
      <c r="C31" s="22"/>
      <c r="D31" s="22"/>
      <c r="E31" s="40" t="s">
        <v>586</v>
      </c>
      <c r="F31" s="39">
        <f>VLOOKUP(F29,Education!A36:AD47,29,FALSE)</f>
        <v>0.10157470849861762</v>
      </c>
      <c r="G31" s="39">
        <f>VLOOKUP(G29,Education!A36:AD47,29,FALSE)</f>
        <v>0.1004797933198007</v>
      </c>
    </row>
    <row r="32" spans="1:8" x14ac:dyDescent="0.4">
      <c r="A32" s="22" t="s">
        <v>588</v>
      </c>
      <c r="B32" s="22"/>
      <c r="C32" s="22"/>
      <c r="D32" s="22"/>
      <c r="E32" s="40" t="s">
        <v>587</v>
      </c>
      <c r="F32" s="39">
        <f>VLOOKUP(F29,Education!A36:AD47,30,FALSE)</f>
        <v>0.19449453059261931</v>
      </c>
      <c r="G32" s="39">
        <f>VLOOKUP(G29,Education!A36:AD47,30,FALSE)</f>
        <v>0.19468536630374608</v>
      </c>
    </row>
    <row r="33" spans="1:23" x14ac:dyDescent="0.4">
      <c r="A33" s="22"/>
      <c r="B33" s="22"/>
      <c r="C33" s="22"/>
      <c r="D33" s="22"/>
      <c r="E33" s="22"/>
      <c r="F33" s="22"/>
      <c r="G33" s="22"/>
    </row>
    <row r="34" spans="1:23" x14ac:dyDescent="0.4">
      <c r="A34" s="22"/>
      <c r="B34" s="22"/>
      <c r="C34" s="22"/>
      <c r="D34" s="39"/>
      <c r="E34" s="22"/>
      <c r="F34" s="22"/>
      <c r="G34" s="22"/>
      <c r="T34" s="36"/>
      <c r="W34" s="36"/>
    </row>
    <row r="35" spans="1:23" x14ac:dyDescent="0.4">
      <c r="A35" s="22"/>
      <c r="B35" s="22"/>
      <c r="C35" s="22"/>
      <c r="D35" s="39"/>
      <c r="E35" s="22"/>
      <c r="F35" s="22"/>
      <c r="G35" s="22"/>
    </row>
    <row r="36" spans="1:23" ht="19" x14ac:dyDescent="0.5">
      <c r="A36" s="15" t="s">
        <v>1</v>
      </c>
      <c r="B36" s="14"/>
      <c r="C36" s="14"/>
      <c r="D36" s="14"/>
      <c r="E36" s="14"/>
      <c r="F36" s="14"/>
      <c r="G36" s="14"/>
      <c r="T36" s="13"/>
      <c r="U36" s="13"/>
    </row>
    <row r="37" spans="1:23" ht="21" customHeight="1" x14ac:dyDescent="0.4">
      <c r="A37" s="23" t="s">
        <v>589</v>
      </c>
      <c r="T37" s="13"/>
      <c r="U37" s="13"/>
    </row>
    <row r="38" spans="1:23" x14ac:dyDescent="0.4">
      <c r="B38" s="11" t="str">
        <f>B2</f>
        <v>Cardinia</v>
      </c>
      <c r="C38" s="11" t="str">
        <f>E2</f>
        <v>Mornington Peninsula</v>
      </c>
      <c r="T38" s="13"/>
      <c r="U38" s="13"/>
    </row>
    <row r="39" spans="1:23" x14ac:dyDescent="0.4">
      <c r="A39" s="11" t="s">
        <v>580</v>
      </c>
      <c r="B39" s="13">
        <f>VLOOKUP(B38,Employment!A4:N15,11,FALSE)</f>
        <v>0.25622278813768173</v>
      </c>
      <c r="C39" s="13">
        <f>VLOOKUP(C38,Employment!A4:N15,11,FALSE)</f>
        <v>0.24050400636124533</v>
      </c>
      <c r="D39" s="13"/>
    </row>
    <row r="40" spans="1:23" x14ac:dyDescent="0.4">
      <c r="A40" s="11" t="s">
        <v>581</v>
      </c>
      <c r="B40" s="13">
        <f>VLOOKUP(B38,Employment!A4:N15,12,FALSE)</f>
        <v>0.27511706235110489</v>
      </c>
      <c r="C40" s="13">
        <f>VLOOKUP(C38,Employment!A4:N15,12,FALSE)</f>
        <v>0.32160988439659915</v>
      </c>
      <c r="D40" s="13"/>
    </row>
    <row r="41" spans="1:23" x14ac:dyDescent="0.4">
      <c r="A41" s="11" t="s">
        <v>590</v>
      </c>
      <c r="B41" s="13">
        <f>VLOOKUP(B38,Employment!A4:N15,13,FALSE)</f>
        <v>8.2970508502423393E-2</v>
      </c>
      <c r="C41" s="13">
        <f>VLOOKUP(C38,Employment!A4:N15,13,FALSE)</f>
        <v>6.8689216465838893E-2</v>
      </c>
      <c r="D41" s="13"/>
      <c r="F41" s="11" t="str">
        <f>B2</f>
        <v>Cardinia</v>
      </c>
      <c r="G41" s="22" t="str">
        <f>E2</f>
        <v>Mornington Peninsula</v>
      </c>
      <c r="H41" s="22"/>
    </row>
    <row r="42" spans="1:23" x14ac:dyDescent="0.4">
      <c r="A42" s="11" t="s">
        <v>591</v>
      </c>
      <c r="B42" s="13">
        <f>VLOOKUP(B38,Employment!A4:N15,14,FALSE)</f>
        <v>0.30206194035981271</v>
      </c>
      <c r="C42" s="13">
        <f>VLOOKUP(C38,Employment!A4:N15,14,FALSE)</f>
        <v>0.28760168817664689</v>
      </c>
      <c r="D42" s="13"/>
      <c r="E42" s="11" t="s">
        <v>638</v>
      </c>
      <c r="F42" s="13">
        <f>VLOOKUP(F41,Employment!A19:W30,20,FALSE)</f>
        <v>0.26374619873428123</v>
      </c>
      <c r="G42" s="13">
        <f>VLOOKUP(G41,Employment!A19:W30,20,FALSE)</f>
        <v>0.24628553959033936</v>
      </c>
      <c r="H42" s="13"/>
    </row>
    <row r="43" spans="1:23" x14ac:dyDescent="0.4">
      <c r="E43" s="11" t="s">
        <v>592</v>
      </c>
      <c r="F43" s="13">
        <f>VLOOKUP(F41,Employment!A19:W30,21,FALSE)</f>
        <v>0.29062217473493879</v>
      </c>
      <c r="G43" s="13">
        <f>VLOOKUP(G41,Employment!A19:W30,21,FALSE)</f>
        <v>0.32840110058086214</v>
      </c>
      <c r="H43" s="13"/>
    </row>
    <row r="44" spans="1:23" x14ac:dyDescent="0.4">
      <c r="E44" s="11" t="s">
        <v>593</v>
      </c>
      <c r="F44" s="13">
        <f>VLOOKUP(F41,Employment!A19:W30,22,FALSE)</f>
        <v>0.14070847374044546</v>
      </c>
      <c r="G44" s="13">
        <f>VLOOKUP(G41,Employment!A19:W30,22,FALSE)</f>
        <v>0.14050749006420055</v>
      </c>
      <c r="H44" s="13"/>
    </row>
    <row r="45" spans="1:23" x14ac:dyDescent="0.4">
      <c r="E45" s="11" t="s">
        <v>594</v>
      </c>
      <c r="F45" s="13">
        <f>VLOOKUP(F41,Employment!A19:W30,23,FALSE)</f>
        <v>0.21541875565053012</v>
      </c>
      <c r="G45" s="13">
        <f>VLOOKUP(G41,Employment!A19:W30,23,FALSE)</f>
        <v>0.19914399266279426</v>
      </c>
      <c r="H45" s="13"/>
    </row>
    <row r="46" spans="1:23" x14ac:dyDescent="0.4">
      <c r="D46" s="22"/>
    </row>
    <row r="51" spans="1:7" x14ac:dyDescent="0.4">
      <c r="A51" s="22"/>
      <c r="B51" s="11" t="str">
        <f>B2</f>
        <v>Cardinia</v>
      </c>
      <c r="C51" s="11" t="str">
        <f>E2</f>
        <v>Mornington Peninsula</v>
      </c>
    </row>
    <row r="52" spans="1:7" x14ac:dyDescent="0.4">
      <c r="A52" s="11" t="s">
        <v>82</v>
      </c>
      <c r="B52" s="13">
        <f>VLOOKUP(B51,Employment!A34:AA45,25,FALSE)</f>
        <v>0.16892934279543351</v>
      </c>
      <c r="C52" s="13">
        <f>VLOOKUP(C51,Employment!A34:AA45,25,FALSE)</f>
        <v>0.1355185384202042</v>
      </c>
      <c r="D52" s="13"/>
    </row>
    <row r="53" spans="1:7" x14ac:dyDescent="0.4">
      <c r="A53" s="11" t="s">
        <v>597</v>
      </c>
      <c r="B53" s="13">
        <f>VLOOKUP(B51,Employment!A34:AA45,26,FALSE)</f>
        <v>0.19546436285097193</v>
      </c>
      <c r="C53" s="13">
        <f>VLOOKUP(C51,Employment!A34:AA45,26,FALSE)</f>
        <v>0.23879634605051048</v>
      </c>
      <c r="D53" s="13"/>
    </row>
    <row r="54" spans="1:7" x14ac:dyDescent="0.4">
      <c r="A54" s="11" t="s">
        <v>598</v>
      </c>
      <c r="B54" s="13">
        <f>VLOOKUP(B51,Employment!A34:AA45,27,FALSE)</f>
        <v>0.19716136994754704</v>
      </c>
      <c r="C54" s="13">
        <f>VLOOKUP(C51,Employment!A34:AA45,27,FALSE)</f>
        <v>0.20655561526061259</v>
      </c>
      <c r="D54" s="13"/>
    </row>
    <row r="56" spans="1:7" x14ac:dyDescent="0.4">
      <c r="B56" s="11" t="s">
        <v>7</v>
      </c>
      <c r="D56" s="11" t="str">
        <f>E2</f>
        <v>Mornington Peninsula</v>
      </c>
    </row>
    <row r="57" spans="1:7" x14ac:dyDescent="0.4">
      <c r="B57" s="11" t="s">
        <v>6</v>
      </c>
      <c r="C57" s="11" t="s">
        <v>4</v>
      </c>
      <c r="D57" s="11" t="s">
        <v>6</v>
      </c>
      <c r="E57" s="11" t="s">
        <v>4</v>
      </c>
    </row>
    <row r="58" spans="1:7" x14ac:dyDescent="0.4">
      <c r="A58" s="11" t="s">
        <v>600</v>
      </c>
      <c r="B58" s="13">
        <f>VLOOKUP(B56,Disengaged!A5:AA16,22,FALSE)</f>
        <v>0.94878779624080634</v>
      </c>
      <c r="C58" s="13">
        <f>VLOOKUP(B56,Disengaged!A5:AA16,25,FALSE)</f>
        <v>0.69667219176335582</v>
      </c>
      <c r="D58" s="13">
        <f>VLOOKUP(D56,Disengaged!A5:AA16,22,FALSE)</f>
        <v>0.95367381811277763</v>
      </c>
      <c r="E58" s="13">
        <f>VLOOKUP(D56,Disengaged!A5:AA16,25,FALSE)</f>
        <v>0.68937329700272476</v>
      </c>
      <c r="F58" s="13"/>
      <c r="G58" s="13"/>
    </row>
    <row r="59" spans="1:7" x14ac:dyDescent="0.4">
      <c r="A59" s="11" t="s">
        <v>601</v>
      </c>
      <c r="B59" s="13">
        <f>VLOOKUP(B56,Disengaged!A5:AA16,23,FALSE)</f>
        <v>2.9147371288477254E-2</v>
      </c>
      <c r="C59" s="13">
        <f>VLOOKUP(B56,Disengaged!A5:AA16,26,FALSE)</f>
        <v>0.17123549662119086</v>
      </c>
      <c r="D59" s="13">
        <f>VLOOKUP(D56,Disengaged!A5:AA16,23,FALSE)</f>
        <v>2.7529903170685401E-2</v>
      </c>
      <c r="E59" s="13">
        <f>VLOOKUP(D56,Disengaged!A5:AA16,26,FALSE)</f>
        <v>0.1923900350330868</v>
      </c>
      <c r="F59" s="13"/>
      <c r="G59" s="13"/>
    </row>
    <row r="60" spans="1:7" x14ac:dyDescent="0.4">
      <c r="A60" s="11" t="s">
        <v>602</v>
      </c>
      <c r="B60" s="13">
        <f>VLOOKUP(B56,Disengaged!A5:AA16,24,FALSE)</f>
        <v>2.2064832470716427E-2</v>
      </c>
      <c r="C60" s="13">
        <f>VLOOKUP(B56,Disengaged!A5:AA16,27,FALSE)</f>
        <v>0.13209231161545326</v>
      </c>
      <c r="D60" s="13">
        <f>VLOOKUP(D56,Disengaged!A5:AA16,24,FALSE)</f>
        <v>1.8796278716536927E-2</v>
      </c>
      <c r="E60" s="13">
        <f>VLOOKUP(D56,Disengaged!A5:AA16,27,FALSE)</f>
        <v>0.1182366679641884</v>
      </c>
      <c r="F60" s="13"/>
      <c r="G60" s="13"/>
    </row>
    <row r="62" spans="1:7" x14ac:dyDescent="0.4">
      <c r="A62" s="23" t="s">
        <v>599</v>
      </c>
    </row>
    <row r="65" spans="1:7" ht="38" x14ac:dyDescent="0.5">
      <c r="A65" s="20" t="s">
        <v>617</v>
      </c>
      <c r="B65" s="31"/>
      <c r="C65" s="44" t="str">
        <f>B2</f>
        <v>Cardinia</v>
      </c>
      <c r="D65" s="45" t="str">
        <f>E2</f>
        <v>Mornington Peninsula</v>
      </c>
    </row>
    <row r="66" spans="1:7" ht="19" x14ac:dyDescent="0.5">
      <c r="A66" s="72" t="s">
        <v>618</v>
      </c>
      <c r="B66" s="72"/>
      <c r="C66" s="42">
        <f>VLOOKUP(C65,Transport!A260:Q272,16,FALSE)</f>
        <v>0.87120418848167536</v>
      </c>
      <c r="D66" s="42">
        <f>VLOOKUP(D65,Transport!A260:Q272,16,FALSE)</f>
        <v>0.82811334824757643</v>
      </c>
    </row>
    <row r="67" spans="1:7" ht="19" x14ac:dyDescent="0.5">
      <c r="A67" s="70" t="s">
        <v>615</v>
      </c>
      <c r="B67" s="71"/>
      <c r="C67" s="43">
        <f>VLOOKUP(C65,Transport!A260:Q272,17,FALSE)</f>
        <v>8.1151832460732987E-2</v>
      </c>
      <c r="D67" s="43">
        <f>VLOOKUP(D65,Transport!A260:Q272,17,FALSE)</f>
        <v>4.8347004722843652E-2</v>
      </c>
    </row>
    <row r="69" spans="1:7" ht="19" x14ac:dyDescent="0.5">
      <c r="A69" s="15" t="s">
        <v>2</v>
      </c>
      <c r="B69" s="14"/>
      <c r="C69" s="14"/>
      <c r="D69" s="14"/>
      <c r="E69" s="14"/>
      <c r="F69" s="14"/>
      <c r="G69" s="14"/>
    </row>
    <row r="70" spans="1:7" x14ac:dyDescent="0.4">
      <c r="B70" s="11" t="str">
        <f>B2</f>
        <v>Cardinia</v>
      </c>
      <c r="D70" s="11" t="str">
        <f>E2</f>
        <v>Mornington Peninsula</v>
      </c>
    </row>
    <row r="71" spans="1:7" x14ac:dyDescent="0.4">
      <c r="B71" s="2" t="s">
        <v>6</v>
      </c>
      <c r="C71" t="s">
        <v>4</v>
      </c>
      <c r="D71" s="2" t="s">
        <v>6</v>
      </c>
      <c r="E71" t="s">
        <v>4</v>
      </c>
      <c r="F71" s="2"/>
      <c r="G71"/>
    </row>
    <row r="72" spans="1:7" x14ac:dyDescent="0.4">
      <c r="A72" s="11" t="s">
        <v>604</v>
      </c>
      <c r="B72" s="13">
        <f>VLOOKUP(B70,'Living arrangements'!A5:BU16,66,FALSE)</f>
        <v>1.5606710885680843E-3</v>
      </c>
      <c r="C72" s="13">
        <f>VLOOKUP(B70,'Living arrangements'!A5:BU16,70,FALSE)</f>
        <v>0.14829080404429465</v>
      </c>
      <c r="D72" s="13">
        <f>VLOOKUP(D70,'Living arrangements'!A5:BU16,66,FALSE)</f>
        <v>1.0966916468652897E-3</v>
      </c>
      <c r="E72" s="13">
        <f>VLOOKUP(D70,'Living arrangements'!A5:BU16,70,FALSE)</f>
        <v>9.2309111029140536E-2</v>
      </c>
      <c r="F72" s="13"/>
      <c r="G72" s="13"/>
    </row>
    <row r="73" spans="1:7" x14ac:dyDescent="0.4">
      <c r="A73" s="11" t="s">
        <v>605</v>
      </c>
      <c r="B73" s="13">
        <f>VLOOKUP(B70,'Living arrangements'!A5:BU16,67,FALSE)</f>
        <v>0.88633112238262457</v>
      </c>
      <c r="C73" s="13">
        <f>VLOOKUP(B70,'Living arrangements'!A5:BU16,71,FALSE)</f>
        <v>0.21762156957149736</v>
      </c>
      <c r="D73" s="13">
        <f>VLOOKUP(D70,'Living arrangements'!A5:BU16,67,FALSE)</f>
        <v>0.88009504660939497</v>
      </c>
      <c r="E73" s="13">
        <f>VLOOKUP(D70,'Living arrangements'!A5:BU16,71,FALSE)</f>
        <v>0.2235337513832534</v>
      </c>
      <c r="F73" s="13"/>
      <c r="G73" s="13"/>
    </row>
    <row r="74" spans="1:7" x14ac:dyDescent="0.4">
      <c r="A74" s="11" t="s">
        <v>606</v>
      </c>
      <c r="B74" s="13">
        <f>VLOOKUP(B70,'Living arrangements'!A5:BU16,68,FALSE)</f>
        <v>4.3958902328001037E-2</v>
      </c>
      <c r="C74" s="13">
        <f>VLOOKUP(B70,'Living arrangements'!A5:BU16,72,FALSE)</f>
        <v>0.38986519017814153</v>
      </c>
      <c r="D74" s="13">
        <f>VLOOKUP(D70,'Living arrangements'!A5:BU16,68,FALSE)</f>
        <v>3.582526046426613E-2</v>
      </c>
      <c r="E74" s="13">
        <f>VLOOKUP(D70,'Living arrangements'!A5:BU16,72,FALSE)</f>
        <v>0.39671707856879379</v>
      </c>
      <c r="F74" s="13"/>
      <c r="G74" s="13"/>
    </row>
    <row r="75" spans="1:7" x14ac:dyDescent="0.4">
      <c r="A75" s="11" t="s">
        <v>607</v>
      </c>
      <c r="B75" s="13">
        <f>VLOOKUP(B70,'Living arrangements'!A5:BU16,69,FALSE)</f>
        <v>1.5606710885680843E-3</v>
      </c>
      <c r="C75" s="13">
        <f>VLOOKUP(B70,'Living arrangements'!A5:BU16,73,FALSE)</f>
        <v>5.3201733269138178E-2</v>
      </c>
      <c r="D75" s="13">
        <f>VLOOKUP(D70,'Living arrangements'!A5:BU16,69,FALSE)</f>
        <v>9.1390970572107475E-4</v>
      </c>
      <c r="E75" s="13">
        <f>VLOOKUP(D70,'Living arrangements'!A5:BU16,73,FALSE)</f>
        <v>5.4592401327923278E-2</v>
      </c>
      <c r="F75" s="13"/>
      <c r="G75" s="13"/>
    </row>
    <row r="83" spans="1:7" ht="19" x14ac:dyDescent="0.5">
      <c r="A83" s="20" t="s">
        <v>614</v>
      </c>
    </row>
    <row r="84" spans="1:7" ht="38" x14ac:dyDescent="0.5">
      <c r="A84" s="47"/>
      <c r="B84" s="47"/>
      <c r="C84" s="44" t="str">
        <f>B2</f>
        <v>Cardinia</v>
      </c>
      <c r="D84" s="45" t="str">
        <f>E2</f>
        <v>Mornington Peninsula</v>
      </c>
    </row>
    <row r="85" spans="1:7" ht="19" x14ac:dyDescent="0.5">
      <c r="B85" s="57" t="s">
        <v>6</v>
      </c>
      <c r="C85" s="58">
        <f>VLOOKUP(C84,'Living arrangements'!A21:AA32,26,FALSE)</f>
        <v>5.2137643378519292E-4</v>
      </c>
      <c r="D85" s="58">
        <f>VLOOKUP(D84,'Living arrangements'!A21:AA32,26,FALSE)</f>
        <v>7.3032682125251055E-4</v>
      </c>
    </row>
    <row r="86" spans="1:7" ht="19" x14ac:dyDescent="0.5">
      <c r="B86" s="56" t="s">
        <v>4</v>
      </c>
      <c r="C86" s="43">
        <f>VLOOKUP(C84,'Living arrangements'!A21:AA32,27,FALSE)</f>
        <v>5.7012268462833776E-2</v>
      </c>
      <c r="D86" s="43">
        <f>VLOOKUP(D84,'Living arrangements'!A21:AA32,27,FALSE)</f>
        <v>3.5417819590481459E-2</v>
      </c>
    </row>
    <row r="88" spans="1:7" ht="19" x14ac:dyDescent="0.5">
      <c r="A88" s="20" t="s">
        <v>613</v>
      </c>
    </row>
    <row r="89" spans="1:7" ht="38" x14ac:dyDescent="0.5">
      <c r="B89" s="31"/>
      <c r="C89" s="45" t="str">
        <f>B2</f>
        <v>Cardinia</v>
      </c>
      <c r="D89" s="45" t="str">
        <f>E2</f>
        <v>Mornington Peninsula</v>
      </c>
    </row>
    <row r="90" spans="1:7" ht="19" x14ac:dyDescent="0.5">
      <c r="B90" s="59" t="s">
        <v>6</v>
      </c>
      <c r="C90" s="58">
        <f>VLOOKUP(C89,Disability!A5:M16,12,FALSE)</f>
        <v>1.9015368585569157E-2</v>
      </c>
      <c r="D90" s="58">
        <f>VLOOKUP(D89,Disability!A5:M16,12,FALSE)</f>
        <v>1.498674952024125E-2</v>
      </c>
    </row>
    <row r="91" spans="1:7" ht="19" x14ac:dyDescent="0.5">
      <c r="B91" s="56" t="s">
        <v>4</v>
      </c>
      <c r="C91" s="43">
        <f>VLOOKUP(C89,Disability!A5:M16,13,FALSE)</f>
        <v>5.5702598652550527E-2</v>
      </c>
      <c r="D91" s="43">
        <f>VLOOKUP(D89,Disability!A5:M16,13,FALSE)</f>
        <v>4.7864982016047219E-2</v>
      </c>
    </row>
    <row r="93" spans="1:7" ht="19" x14ac:dyDescent="0.5">
      <c r="A93" s="15" t="s">
        <v>608</v>
      </c>
      <c r="B93" s="14"/>
      <c r="C93" s="14"/>
      <c r="D93" s="14"/>
      <c r="E93" s="14"/>
      <c r="F93" s="14"/>
      <c r="G93" s="14"/>
    </row>
    <row r="95" spans="1:7" ht="21" x14ac:dyDescent="0.5">
      <c r="B95" s="32" t="s">
        <v>611</v>
      </c>
      <c r="C95" s="58">
        <f>VLOOKUP(D95,Language!A5:D16,3,FALSE)</f>
        <v>0.85765852484658889</v>
      </c>
      <c r="D95" s="60" t="str">
        <f>B2</f>
        <v>Cardinia</v>
      </c>
    </row>
    <row r="96" spans="1:7" ht="33" x14ac:dyDescent="0.5">
      <c r="C96" s="46">
        <f>VLOOKUP(D96,Language!A5:D16,3,FALSE)</f>
        <v>0.9170821791320406</v>
      </c>
      <c r="D96" s="48" t="str">
        <f>E2</f>
        <v>Mornington Peninsula</v>
      </c>
    </row>
    <row r="98" spans="1:13" ht="21" customHeight="1" x14ac:dyDescent="0.5">
      <c r="A98" s="69" t="s">
        <v>762</v>
      </c>
      <c r="B98" s="69"/>
      <c r="C98" s="58">
        <f>VLOOKUP(D98,Language!A21:Q32,17,FALSE)</f>
        <v>3.2506094892792397E-3</v>
      </c>
      <c r="D98" s="60" t="str">
        <f>B2</f>
        <v>Cardinia</v>
      </c>
    </row>
    <row r="99" spans="1:13" ht="34" customHeight="1" x14ac:dyDescent="0.5">
      <c r="A99" s="69"/>
      <c r="B99" s="69"/>
      <c r="C99" s="46">
        <f>VLOOKUP(D99,Language!A21:Q32,17,FALSE)</f>
        <v>3.9913749598568613E-3</v>
      </c>
      <c r="D99" s="48" t="str">
        <f>E2</f>
        <v>Mornington Peninsula</v>
      </c>
      <c r="H99" s="22"/>
      <c r="I99" s="22"/>
      <c r="J99" s="22"/>
      <c r="K99" s="22"/>
      <c r="L99" s="22"/>
      <c r="M99" s="22"/>
    </row>
    <row r="100" spans="1:13" x14ac:dyDescent="0.4">
      <c r="H100" s="22"/>
      <c r="I100" s="22"/>
      <c r="J100" s="22"/>
      <c r="K100" s="22"/>
      <c r="L100" s="22"/>
      <c r="M100" s="22"/>
    </row>
    <row r="101" spans="1:13" ht="19" x14ac:dyDescent="0.5">
      <c r="A101" s="15" t="s">
        <v>620</v>
      </c>
      <c r="B101" s="14"/>
      <c r="C101" s="14"/>
      <c r="D101" s="14"/>
      <c r="E101" s="14"/>
      <c r="F101" s="14"/>
      <c r="G101" s="14"/>
      <c r="H101" s="22"/>
      <c r="I101" s="22"/>
      <c r="J101" s="22"/>
      <c r="K101" s="22"/>
      <c r="L101" s="22"/>
      <c r="M101" s="22"/>
    </row>
    <row r="102" spans="1:13" x14ac:dyDescent="0.4">
      <c r="A102" s="11" t="str">
        <f>CONCATENATE(B105," 15-24 year old hospitalisation rate per 1,000 population")</f>
        <v>Cardinia 15-24 year old hospitalisation rate per 1,000 population</v>
      </c>
      <c r="C102" t="s">
        <v>621</v>
      </c>
      <c r="D102" t="s">
        <v>622</v>
      </c>
      <c r="E102" t="s">
        <v>623</v>
      </c>
      <c r="F102" t="s">
        <v>624</v>
      </c>
      <c r="G102" t="s">
        <v>625</v>
      </c>
      <c r="H102" s="40" t="s">
        <v>626</v>
      </c>
      <c r="I102" s="40" t="s">
        <v>627</v>
      </c>
      <c r="J102" s="40" t="s">
        <v>628</v>
      </c>
      <c r="K102" s="40" t="s">
        <v>629</v>
      </c>
      <c r="L102" s="40" t="s">
        <v>630</v>
      </c>
      <c r="M102" s="22"/>
    </row>
    <row r="103" spans="1:13" x14ac:dyDescent="0.4">
      <c r="A103" s="4" t="s">
        <v>640</v>
      </c>
      <c r="B103" s="11" t="str">
        <f>B2</f>
        <v>Cardinia</v>
      </c>
      <c r="C103" s="11" t="str">
        <f>VLOOKUP($B$103,'AOD Stats'!$A$4:$K$14,2,FALSE)</f>
        <v xml:space="preserve"> </v>
      </c>
      <c r="D103" s="11">
        <f>VLOOKUP($B$103,'AOD Stats'!$A$4:$K$14,3,FALSE)</f>
        <v>11.9</v>
      </c>
      <c r="E103" s="11" t="str">
        <f>VLOOKUP($B$103,'AOD Stats'!$A$4:$K$14,4,FALSE)</f>
        <v xml:space="preserve"> </v>
      </c>
      <c r="F103" s="11">
        <f>VLOOKUP($B$103,'AOD Stats'!$A$4:$K$14,5,FALSE)</f>
        <v>5.9</v>
      </c>
      <c r="G103" s="11">
        <f>VLOOKUP($B$103,'AOD Stats'!$A$4:$K$14,6,FALSE)</f>
        <v>11.1</v>
      </c>
      <c r="H103" s="22" t="str">
        <f>VLOOKUP($B$103,'AOD Stats'!$A$4:$K$14,7,FALSE)</f>
        <v xml:space="preserve"> </v>
      </c>
      <c r="I103" s="22">
        <f>VLOOKUP($B$103,'AOD Stats'!$A$4:$K$14,8,FALSE)</f>
        <v>15.9</v>
      </c>
      <c r="J103" s="22" t="str">
        <f>VLOOKUP($B$103,'AOD Stats'!$A$4:$K$14,9,FALSE)</f>
        <v xml:space="preserve"> </v>
      </c>
      <c r="K103" s="22">
        <f>VLOOKUP($B$103,'AOD Stats'!$A$4:$K$14,10,FALSE)</f>
        <v>24.4</v>
      </c>
      <c r="L103" s="22">
        <f>VLOOKUP($B$103,'AOD Stats'!$A$4:$K$14,11,FALSE)</f>
        <v>42.4</v>
      </c>
      <c r="M103" s="22"/>
    </row>
    <row r="104" spans="1:13" x14ac:dyDescent="0.4">
      <c r="B104" s="11" t="str">
        <f>E2</f>
        <v>Mornington Peninsula</v>
      </c>
      <c r="C104" s="11">
        <f>VLOOKUP($B$104,'AOD Stats'!$A$4:$K$14,2,FALSE)</f>
        <v>19.399999999999999</v>
      </c>
      <c r="D104" s="11">
        <f>VLOOKUP($B$104,'AOD Stats'!$A$4:$K$14,3,FALSE)</f>
        <v>14</v>
      </c>
      <c r="E104" s="11">
        <f>VLOOKUP($B$104,'AOD Stats'!$A$4:$K$14,4,FALSE)</f>
        <v>8.3000000000000007</v>
      </c>
      <c r="F104" s="11" t="str">
        <f>VLOOKUP($B$104,'AOD Stats'!$A$4:$K$14,5,FALSE)</f>
        <v xml:space="preserve"> </v>
      </c>
      <c r="G104" s="11">
        <f>VLOOKUP($B$104,'AOD Stats'!$A$4:$K$14,6,FALSE)</f>
        <v>12.3</v>
      </c>
      <c r="H104" s="22">
        <f>VLOOKUP($B$104,'AOD Stats'!$A$4:$K$14,7,FALSE)</f>
        <v>16.7</v>
      </c>
      <c r="I104" s="22">
        <f>VLOOKUP($B$104,'AOD Stats'!$A$4:$K$14,8,FALSE)</f>
        <v>30.1</v>
      </c>
      <c r="J104" s="22">
        <f>VLOOKUP($B$104,'AOD Stats'!$A$4:$K$14,9,FALSE)</f>
        <v>27.1</v>
      </c>
      <c r="K104" s="22">
        <f>VLOOKUP($B$104,'AOD Stats'!$A$4:$K$14,10,FALSE)</f>
        <v>52</v>
      </c>
      <c r="L104" s="22">
        <f>VLOOKUP($B$104,'AOD Stats'!$A$4:$K$14,11,FALSE)</f>
        <v>39.5</v>
      </c>
      <c r="M104" s="22"/>
    </row>
    <row r="105" spans="1:13" x14ac:dyDescent="0.4">
      <c r="A105" s="4" t="s">
        <v>641</v>
      </c>
      <c r="B105" s="11" t="str">
        <f>B2</f>
        <v>Cardinia</v>
      </c>
      <c r="C105" s="11">
        <f>VLOOKUP($B$103,'AOD Stats'!$A$19:$K$29,2,FALSE)</f>
        <v>14.9</v>
      </c>
      <c r="D105" s="11" t="str">
        <f>VLOOKUP($B$103,'AOD Stats'!$A$19:$K$29,3,FALSE)</f>
        <v xml:space="preserve"> </v>
      </c>
      <c r="E105" s="11">
        <f>VLOOKUP($B$103,'AOD Stats'!$A$19:$K$29,4,FALSE)</f>
        <v>16.600000000000001</v>
      </c>
      <c r="F105" s="11">
        <f>VLOOKUP($B$103,'AOD Stats'!$A$19:$K$29,5,FALSE)</f>
        <v>9.8000000000000007</v>
      </c>
      <c r="G105" s="11" t="str">
        <f>VLOOKUP($B$103,'AOD Stats'!$A$19:$K$29,6,FALSE)</f>
        <v xml:space="preserve"> </v>
      </c>
      <c r="H105" s="22">
        <f>VLOOKUP($B$103,'AOD Stats'!$A$19:$K$29,7,FALSE)</f>
        <v>11.5</v>
      </c>
      <c r="I105" s="22" t="str">
        <f>VLOOKUP($B$103,'AOD Stats'!$A$19:$K$29,8,FALSE)</f>
        <v xml:space="preserve"> </v>
      </c>
      <c r="J105" s="22">
        <f>VLOOKUP($B$103,'AOD Stats'!$A$19:$K$29,9,FALSE)</f>
        <v>15.3</v>
      </c>
      <c r="K105" s="22" t="str">
        <f>VLOOKUP($B$103,'AOD Stats'!$A$19:$K$29,10,FALSE)</f>
        <v xml:space="preserve"> </v>
      </c>
      <c r="L105" s="22">
        <f>VLOOKUP($B$103,'AOD Stats'!$A$19:$K$29,11,FALSE)</f>
        <v>34.700000000000003</v>
      </c>
      <c r="M105" s="22"/>
    </row>
    <row r="106" spans="1:13" x14ac:dyDescent="0.4">
      <c r="B106" s="11" t="str">
        <f>E2</f>
        <v>Mornington Peninsula</v>
      </c>
      <c r="C106" s="11" t="str">
        <f>VLOOKUP($B$106,'AOD Stats'!$A$19:$K$29,2,FALSE)</f>
        <v xml:space="preserve"> </v>
      </c>
      <c r="D106" s="11">
        <f>VLOOKUP($B$106,'AOD Stats'!$A$19:$K$29,3,FALSE)</f>
        <v>17.7</v>
      </c>
      <c r="E106" s="11" t="str">
        <f>VLOOKUP($B$106,'AOD Stats'!$A$19:$K$29,4,FALSE)</f>
        <v xml:space="preserve"> </v>
      </c>
      <c r="F106" s="11">
        <f>VLOOKUP($B$106,'AOD Stats'!$A$19:$K$29,5,FALSE)</f>
        <v>16.100000000000001</v>
      </c>
      <c r="G106" s="11">
        <f>VLOOKUP($B$106,'AOD Stats'!$A$19:$K$29,6,FALSE)</f>
        <v>25.7</v>
      </c>
      <c r="H106" s="22" t="str">
        <f>VLOOKUP($B$106,'AOD Stats'!$A$19:$K$29,7,FALSE)</f>
        <v xml:space="preserve"> </v>
      </c>
      <c r="I106" s="22" t="str">
        <f>VLOOKUP($B$106,'AOD Stats'!$A$19:$K$29,8,FALSE)</f>
        <v xml:space="preserve"> </v>
      </c>
      <c r="J106" s="22" t="str">
        <f>VLOOKUP($B$106,'AOD Stats'!$A$19:$K$29,9,FALSE)</f>
        <v xml:space="preserve"> </v>
      </c>
      <c r="K106" s="22" t="str">
        <f>VLOOKUP($B$106,'AOD Stats'!$A$19:$K$29,10,FALSE)</f>
        <v xml:space="preserve"> </v>
      </c>
      <c r="L106" s="22" t="str">
        <f>VLOOKUP($B$106,'AOD Stats'!$A$19:$K$29,11,FALSE)</f>
        <v xml:space="preserve"> </v>
      </c>
      <c r="M106" s="22"/>
    </row>
    <row r="107" spans="1:13" x14ac:dyDescent="0.4">
      <c r="H107" s="22"/>
      <c r="I107" s="22"/>
      <c r="J107" s="22"/>
      <c r="K107" s="22"/>
      <c r="L107" s="22"/>
      <c r="M107" s="22"/>
    </row>
    <row r="108" spans="1:13" x14ac:dyDescent="0.4">
      <c r="H108" s="22"/>
      <c r="I108" s="22"/>
      <c r="J108" s="22"/>
      <c r="K108" s="22"/>
      <c r="L108" s="22"/>
      <c r="M108" s="22"/>
    </row>
    <row r="109" spans="1:13" x14ac:dyDescent="0.4">
      <c r="H109" s="22"/>
      <c r="I109" s="22"/>
      <c r="J109" s="22"/>
      <c r="K109" s="22"/>
      <c r="L109" s="22"/>
      <c r="M109" s="22"/>
    </row>
    <row r="110" spans="1:13" x14ac:dyDescent="0.4">
      <c r="H110" s="22"/>
      <c r="I110" s="22"/>
      <c r="J110" s="22"/>
      <c r="K110" s="22"/>
      <c r="L110" s="22"/>
      <c r="M110" s="22"/>
    </row>
    <row r="111" spans="1:13" x14ac:dyDescent="0.4">
      <c r="H111" s="22"/>
      <c r="I111" s="22"/>
      <c r="J111" s="22"/>
      <c r="K111" s="22"/>
      <c r="L111" s="22"/>
      <c r="M111" s="22"/>
    </row>
    <row r="112" spans="1:13" x14ac:dyDescent="0.4">
      <c r="H112" s="22"/>
      <c r="I112" s="22"/>
      <c r="J112" s="22"/>
      <c r="K112" s="22"/>
      <c r="L112" s="22"/>
      <c r="M112" s="22"/>
    </row>
    <row r="113" spans="2:13" x14ac:dyDescent="0.4">
      <c r="H113" s="22"/>
      <c r="I113" s="22"/>
      <c r="J113" s="22"/>
      <c r="K113" s="22"/>
      <c r="L113" s="22"/>
      <c r="M113" s="22"/>
    </row>
    <row r="116" spans="2:13" ht="22.5" x14ac:dyDescent="0.4">
      <c r="B116" s="32" t="s">
        <v>631</v>
      </c>
      <c r="C116" s="61">
        <f>VLOOKUP(D116,ACP!A3:C13,3,FALSE)</f>
        <v>8.3000000000000004E-2</v>
      </c>
      <c r="D116" s="62" t="str">
        <f>B2</f>
        <v>Cardinia</v>
      </c>
    </row>
    <row r="117" spans="2:13" ht="32" x14ac:dyDescent="0.4">
      <c r="C117" s="54">
        <f>VLOOKUP(D117,ACP!A3:C13,3,FALSE)</f>
        <v>0.11599999999999999</v>
      </c>
      <c r="D117" s="50" t="str">
        <f>E2</f>
        <v>Mornington Peninsula</v>
      </c>
    </row>
    <row r="119" spans="2:13" ht="22.5" x14ac:dyDescent="0.4">
      <c r="B119" s="32" t="s">
        <v>632</v>
      </c>
      <c r="C119" s="63">
        <f>VLOOKUP(D119,ACP!A3:B14,2,FALSE)</f>
        <v>0</v>
      </c>
      <c r="D119" s="62" t="str">
        <f>$B$2</f>
        <v>Cardinia</v>
      </c>
    </row>
    <row r="120" spans="2:13" ht="32" x14ac:dyDescent="0.4">
      <c r="B120" s="52" t="s">
        <v>633</v>
      </c>
      <c r="C120" s="55">
        <f>VLOOKUP(D120,ACP!A3:B14,2,FALSE)</f>
        <v>0.5</v>
      </c>
      <c r="D120" s="50" t="str">
        <f>$E$2</f>
        <v>Mornington Peninsula</v>
      </c>
      <c r="E120" s="22"/>
      <c r="F120" s="22" t="str">
        <f>B2</f>
        <v>Cardinia</v>
      </c>
      <c r="G120" s="22" t="str">
        <f>E2</f>
        <v>Mornington Peninsula</v>
      </c>
    </row>
    <row r="121" spans="2:13" x14ac:dyDescent="0.4">
      <c r="E121" s="22" t="s">
        <v>17</v>
      </c>
      <c r="F121" s="39">
        <f>VLOOKUP(F120,PHIDU!A:C,3,FALSE)</f>
        <v>0.64086062136408617</v>
      </c>
      <c r="G121" s="39">
        <f>VLOOKUP(G120,PHIDU!A:C,3,FALSE)</f>
        <v>0.77218948521358177</v>
      </c>
    </row>
    <row r="122" spans="2:13" ht="22.5" x14ac:dyDescent="0.4">
      <c r="B122" s="32" t="s">
        <v>634</v>
      </c>
      <c r="C122" s="61">
        <f>VLOOKUP(D122,ACP!A3:K13,10,FALSE)</f>
        <v>0.56499999999999995</v>
      </c>
      <c r="D122" s="64" t="str">
        <f>$B$2</f>
        <v>Cardinia</v>
      </c>
      <c r="E122" s="22" t="s">
        <v>18</v>
      </c>
      <c r="F122" s="39">
        <f>VLOOKUP(F120,PHIDU!A:C,2,FALSE)</f>
        <v>0.70421304459626266</v>
      </c>
      <c r="G122" s="39">
        <f>VLOOKUP(G120,PHIDU!A:C,2,FALSE)</f>
        <v>0.83493903803131997</v>
      </c>
    </row>
    <row r="123" spans="2:13" ht="30" x14ac:dyDescent="0.4">
      <c r="B123" s="52" t="s">
        <v>635</v>
      </c>
      <c r="C123" s="54">
        <f>VLOOKUP(D123,ACP!A3:K13,10,FALSE)</f>
        <v>0.55899999999999994</v>
      </c>
      <c r="D123" s="49" t="str">
        <f>$E$2</f>
        <v>Mornington Peninsula</v>
      </c>
    </row>
    <row r="124" spans="2:13" x14ac:dyDescent="0.4">
      <c r="D124" s="51"/>
    </row>
    <row r="125" spans="2:13" ht="22.5" x14ac:dyDescent="0.4">
      <c r="B125" s="32" t="s">
        <v>636</v>
      </c>
      <c r="C125" s="61">
        <f>VLOOKUP(D125,ACP!A3:K13,11,FALSE)</f>
        <v>0.188</v>
      </c>
      <c r="D125" s="64" t="str">
        <f>$B$2</f>
        <v>Cardinia</v>
      </c>
    </row>
    <row r="126" spans="2:13" ht="30" x14ac:dyDescent="0.4">
      <c r="B126" s="52" t="s">
        <v>635</v>
      </c>
      <c r="C126" s="54">
        <f>VLOOKUP(D126,ACP!A3:K13,11,FALSE)</f>
        <v>0.128</v>
      </c>
      <c r="D126" s="49" t="str">
        <f>$E$2</f>
        <v>Mornington Peninsula</v>
      </c>
    </row>
    <row r="127" spans="2:13" x14ac:dyDescent="0.4">
      <c r="D127" s="51"/>
    </row>
    <row r="128" spans="2:13" ht="22.5" x14ac:dyDescent="0.4">
      <c r="B128" s="32" t="s">
        <v>759</v>
      </c>
      <c r="C128" s="65">
        <f>VLOOKUP(D128,PHIDU!A:D,4,FALSE)</f>
        <v>56.475888497469647</v>
      </c>
      <c r="D128" s="64" t="str">
        <f>$B$2</f>
        <v>Cardinia</v>
      </c>
    </row>
    <row r="129" spans="1:4" ht="30" x14ac:dyDescent="0.4">
      <c r="A129" s="67" t="s">
        <v>760</v>
      </c>
      <c r="B129" s="67"/>
      <c r="C129" s="53">
        <f>VLOOKUP(D129,PHIDU!A:D,4,FALSE)</f>
        <v>38.475553014630933</v>
      </c>
      <c r="D129" s="49" t="str">
        <f>$E$2</f>
        <v>Mornington Peninsula</v>
      </c>
    </row>
    <row r="144" spans="1:4" x14ac:dyDescent="0.4">
      <c r="B144" s="35"/>
    </row>
    <row r="145" spans="2:2" x14ac:dyDescent="0.4">
      <c r="B145" s="35"/>
    </row>
    <row r="146" spans="2:2" x14ac:dyDescent="0.4">
      <c r="B146" s="35"/>
    </row>
    <row r="147" spans="2:2" x14ac:dyDescent="0.4">
      <c r="B147" s="35"/>
    </row>
    <row r="148" spans="2:2" x14ac:dyDescent="0.4">
      <c r="B148" s="35"/>
    </row>
  </sheetData>
  <sheetProtection sheet="1" objects="1" scenarios="1"/>
  <sortState ref="A168:B172">
    <sortCondition ref="B168:B172"/>
  </sortState>
  <mergeCells count="8">
    <mergeCell ref="A129:B129"/>
    <mergeCell ref="C2:D2"/>
    <mergeCell ref="A7:B7"/>
    <mergeCell ref="A8:B8"/>
    <mergeCell ref="A9:B9"/>
    <mergeCell ref="A98:B99"/>
    <mergeCell ref="A67:B67"/>
    <mergeCell ref="A66:B66"/>
  </mergeCells>
  <dataValidations count="1">
    <dataValidation type="list" allowBlank="1" showInputMessage="1" showErrorMessage="1" sqref="B2 E2">
      <formula1>$Q$2:$Q$15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4" orientation="portrait" r:id="rId1"/>
  <rowBreaks count="3" manualBreakCount="3">
    <brk id="35" max="16383" man="1"/>
    <brk id="68" max="16383" man="1"/>
    <brk id="10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Z32"/>
  <sheetViews>
    <sheetView topLeftCell="A5" workbookViewId="0">
      <selection activeCell="T30" sqref="T30"/>
    </sheetView>
  </sheetViews>
  <sheetFormatPr defaultRowHeight="14.5" x14ac:dyDescent="0.35"/>
  <sheetData>
    <row r="2" spans="1:130" x14ac:dyDescent="0.35">
      <c r="A2" s="4" t="s">
        <v>404</v>
      </c>
    </row>
    <row r="3" spans="1:130" x14ac:dyDescent="0.35">
      <c r="E3" s="2" t="s">
        <v>6</v>
      </c>
      <c r="BN3" t="s">
        <v>4</v>
      </c>
    </row>
    <row r="4" spans="1:130" x14ac:dyDescent="0.35">
      <c r="B4" s="2" t="s">
        <v>609</v>
      </c>
      <c r="C4" t="s">
        <v>610</v>
      </c>
      <c r="D4" t="s">
        <v>612</v>
      </c>
      <c r="E4" t="s">
        <v>343</v>
      </c>
      <c r="F4" t="s">
        <v>344</v>
      </c>
      <c r="G4" t="s">
        <v>345</v>
      </c>
      <c r="H4" t="s">
        <v>346</v>
      </c>
      <c r="I4" t="s">
        <v>347</v>
      </c>
      <c r="J4" t="s">
        <v>348</v>
      </c>
      <c r="K4" t="s">
        <v>349</v>
      </c>
      <c r="L4" t="s">
        <v>350</v>
      </c>
      <c r="M4" t="s">
        <v>351</v>
      </c>
      <c r="N4" t="s">
        <v>352</v>
      </c>
      <c r="O4" t="s">
        <v>353</v>
      </c>
      <c r="P4" t="s">
        <v>354</v>
      </c>
      <c r="Q4" t="s">
        <v>355</v>
      </c>
      <c r="R4" t="s">
        <v>356</v>
      </c>
      <c r="S4" t="s">
        <v>357</v>
      </c>
      <c r="T4" t="s">
        <v>358</v>
      </c>
      <c r="U4" t="s">
        <v>359</v>
      </c>
      <c r="V4" t="s">
        <v>360</v>
      </c>
      <c r="W4" t="s">
        <v>361</v>
      </c>
      <c r="X4" t="s">
        <v>362</v>
      </c>
      <c r="Y4" t="s">
        <v>363</v>
      </c>
      <c r="Z4" t="s">
        <v>364</v>
      </c>
      <c r="AA4" t="s">
        <v>365</v>
      </c>
      <c r="AB4" t="s">
        <v>366</v>
      </c>
      <c r="AC4" t="s">
        <v>367</v>
      </c>
      <c r="AD4" t="s">
        <v>368</v>
      </c>
      <c r="AE4" t="s">
        <v>369</v>
      </c>
      <c r="AF4" t="s">
        <v>370</v>
      </c>
      <c r="AG4" t="s">
        <v>371</v>
      </c>
      <c r="AH4" t="s">
        <v>372</v>
      </c>
      <c r="AI4" t="s">
        <v>373</v>
      </c>
      <c r="AJ4" t="s">
        <v>374</v>
      </c>
      <c r="AK4" t="s">
        <v>375</v>
      </c>
      <c r="AL4" t="s">
        <v>376</v>
      </c>
      <c r="AM4" t="s">
        <v>377</v>
      </c>
      <c r="AN4" t="s">
        <v>378</v>
      </c>
      <c r="AO4" t="s">
        <v>379</v>
      </c>
      <c r="AP4" t="s">
        <v>380</v>
      </c>
      <c r="AQ4" t="s">
        <v>381</v>
      </c>
      <c r="AR4" t="s">
        <v>382</v>
      </c>
      <c r="AS4" t="s">
        <v>383</v>
      </c>
      <c r="AT4" t="s">
        <v>384</v>
      </c>
      <c r="AU4" t="s">
        <v>385</v>
      </c>
      <c r="AV4" t="s">
        <v>386</v>
      </c>
      <c r="AW4" t="s">
        <v>387</v>
      </c>
      <c r="AX4" t="s">
        <v>388</v>
      </c>
      <c r="AY4" t="s">
        <v>389</v>
      </c>
      <c r="AZ4" t="s">
        <v>390</v>
      </c>
      <c r="BA4" t="s">
        <v>391</v>
      </c>
      <c r="BB4" t="s">
        <v>392</v>
      </c>
      <c r="BC4" t="s">
        <v>393</v>
      </c>
      <c r="BD4" t="s">
        <v>394</v>
      </c>
      <c r="BE4" t="s">
        <v>395</v>
      </c>
      <c r="BF4" t="s">
        <v>396</v>
      </c>
      <c r="BG4" t="s">
        <v>397</v>
      </c>
      <c r="BH4" t="s">
        <v>398</v>
      </c>
      <c r="BI4" t="s">
        <v>399</v>
      </c>
      <c r="BJ4" t="s">
        <v>400</v>
      </c>
      <c r="BK4" t="s">
        <v>401</v>
      </c>
      <c r="BL4" t="s">
        <v>402</v>
      </c>
      <c r="BM4" t="s">
        <v>403</v>
      </c>
      <c r="BN4" t="s">
        <v>28</v>
      </c>
      <c r="BO4" t="s">
        <v>343</v>
      </c>
      <c r="BP4" t="s">
        <v>344</v>
      </c>
      <c r="BQ4" t="s">
        <v>345</v>
      </c>
      <c r="BR4" t="s">
        <v>346</v>
      </c>
      <c r="BS4" t="s">
        <v>347</v>
      </c>
      <c r="BT4" t="s">
        <v>348</v>
      </c>
      <c r="BU4" t="s">
        <v>349</v>
      </c>
      <c r="BV4" t="s">
        <v>350</v>
      </c>
      <c r="BW4" t="s">
        <v>351</v>
      </c>
      <c r="BX4" t="s">
        <v>352</v>
      </c>
      <c r="BY4" t="s">
        <v>353</v>
      </c>
      <c r="BZ4" t="s">
        <v>354</v>
      </c>
      <c r="CA4" t="s">
        <v>355</v>
      </c>
      <c r="CB4" t="s">
        <v>356</v>
      </c>
      <c r="CC4" t="s">
        <v>357</v>
      </c>
      <c r="CD4" t="s">
        <v>358</v>
      </c>
      <c r="CE4" t="s">
        <v>359</v>
      </c>
      <c r="CF4" t="s">
        <v>360</v>
      </c>
      <c r="CG4" t="s">
        <v>361</v>
      </c>
      <c r="CH4" t="s">
        <v>362</v>
      </c>
      <c r="CI4" t="s">
        <v>363</v>
      </c>
      <c r="CJ4" t="s">
        <v>364</v>
      </c>
      <c r="CK4" t="s">
        <v>365</v>
      </c>
      <c r="CL4" t="s">
        <v>366</v>
      </c>
      <c r="CM4" t="s">
        <v>367</v>
      </c>
      <c r="CN4" t="s">
        <v>368</v>
      </c>
      <c r="CO4" t="s">
        <v>369</v>
      </c>
      <c r="CP4" t="s">
        <v>370</v>
      </c>
      <c r="CQ4" t="s">
        <v>371</v>
      </c>
      <c r="CR4" t="s">
        <v>372</v>
      </c>
      <c r="CS4" t="s">
        <v>373</v>
      </c>
      <c r="CT4" t="s">
        <v>374</v>
      </c>
      <c r="CU4" t="s">
        <v>375</v>
      </c>
      <c r="CV4" t="s">
        <v>376</v>
      </c>
      <c r="CW4" t="s">
        <v>377</v>
      </c>
      <c r="CX4" t="s">
        <v>378</v>
      </c>
      <c r="CY4" t="s">
        <v>379</v>
      </c>
      <c r="CZ4" t="s">
        <v>380</v>
      </c>
      <c r="DA4" t="s">
        <v>381</v>
      </c>
      <c r="DB4" t="s">
        <v>382</v>
      </c>
      <c r="DC4" t="s">
        <v>383</v>
      </c>
      <c r="DD4" t="s">
        <v>384</v>
      </c>
      <c r="DE4" t="s">
        <v>385</v>
      </c>
      <c r="DF4" t="s">
        <v>386</v>
      </c>
      <c r="DG4" t="s">
        <v>387</v>
      </c>
      <c r="DH4" t="s">
        <v>388</v>
      </c>
      <c r="DI4" t="s">
        <v>389</v>
      </c>
      <c r="DJ4" t="s">
        <v>390</v>
      </c>
      <c r="DK4" t="s">
        <v>391</v>
      </c>
      <c r="DL4" t="s">
        <v>392</v>
      </c>
      <c r="DM4" t="s">
        <v>393</v>
      </c>
      <c r="DN4" t="s">
        <v>394</v>
      </c>
      <c r="DO4" t="s">
        <v>395</v>
      </c>
      <c r="DP4" t="s">
        <v>396</v>
      </c>
      <c r="DQ4" t="s">
        <v>397</v>
      </c>
      <c r="DR4" t="s">
        <v>398</v>
      </c>
      <c r="DS4" t="s">
        <v>399</v>
      </c>
      <c r="DT4" t="s">
        <v>400</v>
      </c>
      <c r="DU4" t="s">
        <v>401</v>
      </c>
      <c r="DV4" t="s">
        <v>402</v>
      </c>
      <c r="DW4" t="s">
        <v>403</v>
      </c>
      <c r="DX4" t="s">
        <v>28</v>
      </c>
      <c r="DY4" s="30" t="s">
        <v>6</v>
      </c>
      <c r="DZ4" t="s">
        <v>4</v>
      </c>
    </row>
    <row r="5" spans="1:130" x14ac:dyDescent="0.35">
      <c r="A5" t="s">
        <v>7</v>
      </c>
      <c r="B5" s="10">
        <f>G5/DY5</f>
        <v>0.87566723082931908</v>
      </c>
      <c r="C5" s="10">
        <f>BQ5/DZ5</f>
        <v>0.85765852484658889</v>
      </c>
      <c r="D5" s="10">
        <f>(G5+BQ5)/(DY5+DZ5)</f>
        <v>0.86630815407703854</v>
      </c>
      <c r="E5">
        <v>0</v>
      </c>
      <c r="F5">
        <v>0</v>
      </c>
      <c r="G5" s="3">
        <v>6726</v>
      </c>
      <c r="H5">
        <v>14</v>
      </c>
      <c r="I5">
        <v>11</v>
      </c>
      <c r="J5">
        <v>0</v>
      </c>
      <c r="K5">
        <v>0</v>
      </c>
      <c r="L5">
        <v>0</v>
      </c>
      <c r="M5">
        <v>22</v>
      </c>
      <c r="N5">
        <v>8</v>
      </c>
      <c r="O5">
        <v>24</v>
      </c>
      <c r="P5">
        <v>10</v>
      </c>
      <c r="Q5">
        <v>0</v>
      </c>
      <c r="R5">
        <v>3</v>
      </c>
      <c r="S5">
        <v>0</v>
      </c>
      <c r="T5">
        <v>0</v>
      </c>
      <c r="U5">
        <v>4</v>
      </c>
      <c r="V5">
        <v>4</v>
      </c>
      <c r="W5">
        <v>8</v>
      </c>
      <c r="X5">
        <v>4</v>
      </c>
      <c r="Y5">
        <v>21</v>
      </c>
      <c r="Z5">
        <v>0</v>
      </c>
      <c r="AA5">
        <v>16</v>
      </c>
      <c r="AB5">
        <v>58</v>
      </c>
      <c r="AC5">
        <v>8</v>
      </c>
      <c r="AD5">
        <v>0</v>
      </c>
      <c r="AE5">
        <v>4</v>
      </c>
      <c r="AF5">
        <v>25</v>
      </c>
      <c r="AG5">
        <v>85</v>
      </c>
      <c r="AH5">
        <v>0</v>
      </c>
      <c r="AI5">
        <v>0</v>
      </c>
      <c r="AJ5">
        <v>0</v>
      </c>
      <c r="AK5">
        <v>0</v>
      </c>
      <c r="AL5">
        <v>19</v>
      </c>
      <c r="AM5">
        <v>5</v>
      </c>
      <c r="AN5">
        <v>56</v>
      </c>
      <c r="AO5">
        <v>0</v>
      </c>
      <c r="AP5">
        <v>0</v>
      </c>
      <c r="AQ5">
        <v>33</v>
      </c>
      <c r="AR5">
        <v>10</v>
      </c>
      <c r="AS5">
        <v>7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6</v>
      </c>
      <c r="BC5">
        <v>0</v>
      </c>
      <c r="BD5">
        <v>0</v>
      </c>
      <c r="BE5">
        <v>0</v>
      </c>
      <c r="BF5">
        <v>0</v>
      </c>
      <c r="BG5">
        <v>73</v>
      </c>
      <c r="BH5">
        <v>24</v>
      </c>
      <c r="BI5">
        <v>0</v>
      </c>
      <c r="BJ5">
        <v>0</v>
      </c>
      <c r="BK5">
        <v>0</v>
      </c>
      <c r="BL5">
        <v>8</v>
      </c>
      <c r="BM5">
        <v>15</v>
      </c>
      <c r="BN5">
        <v>370</v>
      </c>
      <c r="BO5">
        <v>0</v>
      </c>
      <c r="BP5">
        <v>0</v>
      </c>
      <c r="BQ5" s="3">
        <v>7128</v>
      </c>
      <c r="BR5">
        <v>14</v>
      </c>
      <c r="BS5">
        <v>4</v>
      </c>
      <c r="BT5">
        <v>0</v>
      </c>
      <c r="BU5">
        <v>0</v>
      </c>
      <c r="BV5">
        <v>0</v>
      </c>
      <c r="BW5">
        <v>16</v>
      </c>
      <c r="BX5">
        <v>15</v>
      </c>
      <c r="BY5">
        <v>41</v>
      </c>
      <c r="BZ5">
        <v>13</v>
      </c>
      <c r="CA5">
        <v>0</v>
      </c>
      <c r="CB5">
        <v>0</v>
      </c>
      <c r="CC5">
        <v>0</v>
      </c>
      <c r="CD5">
        <v>0</v>
      </c>
      <c r="CE5">
        <v>7</v>
      </c>
      <c r="CF5">
        <v>12</v>
      </c>
      <c r="CG5">
        <v>32</v>
      </c>
      <c r="CH5">
        <v>3</v>
      </c>
      <c r="CI5">
        <v>32</v>
      </c>
      <c r="CJ5">
        <v>0</v>
      </c>
      <c r="CK5">
        <v>33</v>
      </c>
      <c r="CL5">
        <v>57</v>
      </c>
      <c r="CM5">
        <v>15</v>
      </c>
      <c r="CN5">
        <v>0</v>
      </c>
      <c r="CO5">
        <v>0</v>
      </c>
      <c r="CP5">
        <v>22</v>
      </c>
      <c r="CQ5">
        <v>137</v>
      </c>
      <c r="CR5">
        <v>0</v>
      </c>
      <c r="CS5">
        <v>0</v>
      </c>
      <c r="CT5">
        <v>0</v>
      </c>
      <c r="CU5">
        <v>0</v>
      </c>
      <c r="CV5">
        <v>22</v>
      </c>
      <c r="CW5">
        <v>8</v>
      </c>
      <c r="CX5">
        <v>69</v>
      </c>
      <c r="CY5">
        <v>0</v>
      </c>
      <c r="CZ5">
        <v>0</v>
      </c>
      <c r="DA5">
        <v>34</v>
      </c>
      <c r="DB5">
        <v>7</v>
      </c>
      <c r="DC5">
        <v>9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78</v>
      </c>
      <c r="DR5">
        <v>32</v>
      </c>
      <c r="DS5">
        <v>0</v>
      </c>
      <c r="DT5">
        <v>0</v>
      </c>
      <c r="DU5">
        <v>0</v>
      </c>
      <c r="DV5">
        <v>12</v>
      </c>
      <c r="DW5">
        <v>13</v>
      </c>
      <c r="DX5">
        <v>446</v>
      </c>
      <c r="DY5">
        <f>SUM(E5:BN5)</f>
        <v>7681</v>
      </c>
      <c r="DZ5">
        <f>SUM(BO5:DX5)</f>
        <v>8311</v>
      </c>
    </row>
    <row r="6" spans="1:130" x14ac:dyDescent="0.35">
      <c r="A6" t="s">
        <v>8</v>
      </c>
      <c r="B6" s="10">
        <f t="shared" ref="B6:B15" si="0">G6/DY6</f>
        <v>0.65950833568804745</v>
      </c>
      <c r="C6" s="10">
        <f t="shared" ref="C6:C15" si="1">BQ6/DZ6</f>
        <v>0.62747797356828194</v>
      </c>
      <c r="D6" s="10">
        <f t="shared" ref="D6:D15" si="2">(G6+BQ6)/(DY6+DZ6)</f>
        <v>0.64221887829980118</v>
      </c>
      <c r="E6">
        <v>0</v>
      </c>
      <c r="F6">
        <v>0</v>
      </c>
      <c r="G6" s="3">
        <v>16338</v>
      </c>
      <c r="H6">
        <v>35</v>
      </c>
      <c r="I6">
        <v>42</v>
      </c>
      <c r="J6">
        <v>0</v>
      </c>
      <c r="K6">
        <v>0</v>
      </c>
      <c r="L6">
        <v>0</v>
      </c>
      <c r="M6">
        <v>86</v>
      </c>
      <c r="N6">
        <v>118</v>
      </c>
      <c r="O6">
        <v>176</v>
      </c>
      <c r="P6">
        <v>61</v>
      </c>
      <c r="Q6">
        <v>9</v>
      </c>
      <c r="R6">
        <v>0</v>
      </c>
      <c r="S6">
        <v>0</v>
      </c>
      <c r="T6">
        <v>3</v>
      </c>
      <c r="U6">
        <v>29</v>
      </c>
      <c r="V6">
        <v>55</v>
      </c>
      <c r="W6">
        <v>268</v>
      </c>
      <c r="X6">
        <v>76</v>
      </c>
      <c r="Y6">
        <v>154</v>
      </c>
      <c r="Z6">
        <v>0</v>
      </c>
      <c r="AA6" s="3">
        <v>1298</v>
      </c>
      <c r="AB6">
        <v>473</v>
      </c>
      <c r="AC6">
        <v>126</v>
      </c>
      <c r="AD6">
        <v>30</v>
      </c>
      <c r="AE6">
        <v>32</v>
      </c>
      <c r="AF6">
        <v>593</v>
      </c>
      <c r="AG6" s="3">
        <v>1474</v>
      </c>
      <c r="AH6">
        <v>0</v>
      </c>
      <c r="AI6">
        <v>0</v>
      </c>
      <c r="AJ6">
        <v>15</v>
      </c>
      <c r="AK6">
        <v>0</v>
      </c>
      <c r="AL6">
        <v>365</v>
      </c>
      <c r="AM6">
        <v>45</v>
      </c>
      <c r="AN6">
        <v>393</v>
      </c>
      <c r="AO6">
        <v>0</v>
      </c>
      <c r="AP6">
        <v>0</v>
      </c>
      <c r="AQ6">
        <v>610</v>
      </c>
      <c r="AR6">
        <v>27</v>
      </c>
      <c r="AS6">
        <v>44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321</v>
      </c>
      <c r="BH6">
        <v>376</v>
      </c>
      <c r="BI6">
        <v>0</v>
      </c>
      <c r="BJ6">
        <v>0</v>
      </c>
      <c r="BK6">
        <v>0</v>
      </c>
      <c r="BL6">
        <v>21</v>
      </c>
      <c r="BM6">
        <v>52</v>
      </c>
      <c r="BN6" s="3">
        <v>1028</v>
      </c>
      <c r="BO6">
        <v>0</v>
      </c>
      <c r="BP6">
        <v>0</v>
      </c>
      <c r="BQ6" s="3">
        <v>18232</v>
      </c>
      <c r="BR6">
        <v>32</v>
      </c>
      <c r="BS6">
        <v>44</v>
      </c>
      <c r="BT6">
        <v>3</v>
      </c>
      <c r="BU6">
        <v>3</v>
      </c>
      <c r="BV6">
        <v>0</v>
      </c>
      <c r="BW6">
        <v>154</v>
      </c>
      <c r="BX6">
        <v>118</v>
      </c>
      <c r="BY6">
        <v>306</v>
      </c>
      <c r="BZ6">
        <v>78</v>
      </c>
      <c r="CA6">
        <v>11</v>
      </c>
      <c r="CB6">
        <v>0</v>
      </c>
      <c r="CC6">
        <v>0</v>
      </c>
      <c r="CD6">
        <v>5</v>
      </c>
      <c r="CE6">
        <v>42</v>
      </c>
      <c r="CF6">
        <v>50</v>
      </c>
      <c r="CG6">
        <v>410</v>
      </c>
      <c r="CH6">
        <v>110</v>
      </c>
      <c r="CI6">
        <v>262</v>
      </c>
      <c r="CJ6">
        <v>0</v>
      </c>
      <c r="CK6" s="3">
        <v>2206</v>
      </c>
      <c r="CL6">
        <v>514</v>
      </c>
      <c r="CM6">
        <v>180</v>
      </c>
      <c r="CN6">
        <v>20</v>
      </c>
      <c r="CO6">
        <v>27</v>
      </c>
      <c r="CP6">
        <v>400</v>
      </c>
      <c r="CQ6" s="3">
        <v>1811</v>
      </c>
      <c r="CR6">
        <v>0</v>
      </c>
      <c r="CS6">
        <v>0</v>
      </c>
      <c r="CT6">
        <v>15</v>
      </c>
      <c r="CU6">
        <v>0</v>
      </c>
      <c r="CV6">
        <v>463</v>
      </c>
      <c r="CW6">
        <v>46</v>
      </c>
      <c r="CX6">
        <v>457</v>
      </c>
      <c r="CY6">
        <v>0</v>
      </c>
      <c r="CZ6">
        <v>0</v>
      </c>
      <c r="DA6">
        <v>722</v>
      </c>
      <c r="DB6">
        <v>7</v>
      </c>
      <c r="DC6">
        <v>36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344</v>
      </c>
      <c r="DR6">
        <v>487</v>
      </c>
      <c r="DS6">
        <v>0</v>
      </c>
      <c r="DT6">
        <v>0</v>
      </c>
      <c r="DU6">
        <v>0</v>
      </c>
      <c r="DV6">
        <v>34</v>
      </c>
      <c r="DW6">
        <v>73</v>
      </c>
      <c r="DX6" s="3">
        <v>1354</v>
      </c>
      <c r="DY6">
        <f t="shared" ref="DY6:DY14" si="3">SUM(E6:BN6)</f>
        <v>24773</v>
      </c>
      <c r="DZ6">
        <f t="shared" ref="DZ6:DZ14" si="4">SUM(BO6:DX6)</f>
        <v>29056</v>
      </c>
    </row>
    <row r="7" spans="1:130" x14ac:dyDescent="0.35">
      <c r="A7" t="s">
        <v>9</v>
      </c>
      <c r="B7" s="10">
        <f t="shared" si="0"/>
        <v>0.52898284313725485</v>
      </c>
      <c r="C7" s="10">
        <f t="shared" si="1"/>
        <v>0.52324548415753624</v>
      </c>
      <c r="D7" s="10">
        <f t="shared" si="2"/>
        <v>0.5258050407304139</v>
      </c>
      <c r="E7">
        <v>0</v>
      </c>
      <c r="F7">
        <v>0</v>
      </c>
      <c r="G7" s="3">
        <v>8633</v>
      </c>
      <c r="H7">
        <v>7</v>
      </c>
      <c r="I7">
        <v>16</v>
      </c>
      <c r="J7">
        <v>9</v>
      </c>
      <c r="K7">
        <v>3</v>
      </c>
      <c r="L7">
        <v>0</v>
      </c>
      <c r="M7">
        <v>6</v>
      </c>
      <c r="N7">
        <v>122</v>
      </c>
      <c r="O7">
        <v>52</v>
      </c>
      <c r="P7">
        <v>156</v>
      </c>
      <c r="Q7">
        <v>9</v>
      </c>
      <c r="R7">
        <v>0</v>
      </c>
      <c r="S7">
        <v>0</v>
      </c>
      <c r="T7">
        <v>0</v>
      </c>
      <c r="U7">
        <v>4</v>
      </c>
      <c r="V7">
        <v>15</v>
      </c>
      <c r="W7">
        <v>115</v>
      </c>
      <c r="X7">
        <v>20</v>
      </c>
      <c r="Y7">
        <v>4</v>
      </c>
      <c r="Z7">
        <v>0</v>
      </c>
      <c r="AA7">
        <v>92</v>
      </c>
      <c r="AB7" s="3">
        <v>2996</v>
      </c>
      <c r="AC7" s="3">
        <v>1213</v>
      </c>
      <c r="AD7">
        <v>0</v>
      </c>
      <c r="AE7">
        <v>18</v>
      </c>
      <c r="AF7">
        <v>115</v>
      </c>
      <c r="AG7">
        <v>829</v>
      </c>
      <c r="AH7">
        <v>0</v>
      </c>
      <c r="AI7">
        <v>0</v>
      </c>
      <c r="AJ7">
        <v>0</v>
      </c>
      <c r="AK7">
        <v>49</v>
      </c>
      <c r="AL7">
        <v>191</v>
      </c>
      <c r="AM7">
        <v>23</v>
      </c>
      <c r="AN7">
        <v>219</v>
      </c>
      <c r="AO7">
        <v>0</v>
      </c>
      <c r="AP7">
        <v>0</v>
      </c>
      <c r="AQ7">
        <v>127</v>
      </c>
      <c r="AR7">
        <v>4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184</v>
      </c>
      <c r="BH7">
        <v>257</v>
      </c>
      <c r="BI7">
        <v>0</v>
      </c>
      <c r="BJ7">
        <v>6</v>
      </c>
      <c r="BK7">
        <v>0</v>
      </c>
      <c r="BL7">
        <v>9</v>
      </c>
      <c r="BM7">
        <v>24</v>
      </c>
      <c r="BN7">
        <v>793</v>
      </c>
      <c r="BO7">
        <v>0</v>
      </c>
      <c r="BP7">
        <v>4</v>
      </c>
      <c r="BQ7" s="3">
        <v>10602</v>
      </c>
      <c r="BR7">
        <v>3</v>
      </c>
      <c r="BS7">
        <v>10</v>
      </c>
      <c r="BT7">
        <v>0</v>
      </c>
      <c r="BU7">
        <v>0</v>
      </c>
      <c r="BV7">
        <v>0</v>
      </c>
      <c r="BW7">
        <v>22</v>
      </c>
      <c r="BX7">
        <v>165</v>
      </c>
      <c r="BY7">
        <v>102</v>
      </c>
      <c r="BZ7">
        <v>177</v>
      </c>
      <c r="CA7">
        <v>15</v>
      </c>
      <c r="CB7">
        <v>0</v>
      </c>
      <c r="CC7">
        <v>0</v>
      </c>
      <c r="CD7">
        <v>0</v>
      </c>
      <c r="CE7">
        <v>0</v>
      </c>
      <c r="CF7">
        <v>13</v>
      </c>
      <c r="CG7">
        <v>147</v>
      </c>
      <c r="CH7">
        <v>22</v>
      </c>
      <c r="CI7">
        <v>12</v>
      </c>
      <c r="CJ7">
        <v>0</v>
      </c>
      <c r="CK7">
        <v>141</v>
      </c>
      <c r="CL7" s="3">
        <v>3123</v>
      </c>
      <c r="CM7" s="3">
        <v>1723</v>
      </c>
      <c r="CN7">
        <v>6</v>
      </c>
      <c r="CO7">
        <v>16</v>
      </c>
      <c r="CP7">
        <v>80</v>
      </c>
      <c r="CQ7" s="3">
        <v>1473</v>
      </c>
      <c r="CR7">
        <v>0</v>
      </c>
      <c r="CS7">
        <v>0</v>
      </c>
      <c r="CT7">
        <v>6</v>
      </c>
      <c r="CU7">
        <v>84</v>
      </c>
      <c r="CV7">
        <v>285</v>
      </c>
      <c r="CW7">
        <v>21</v>
      </c>
      <c r="CX7">
        <v>261</v>
      </c>
      <c r="CY7">
        <v>0</v>
      </c>
      <c r="CZ7">
        <v>0</v>
      </c>
      <c r="DA7">
        <v>164</v>
      </c>
      <c r="DB7">
        <v>8</v>
      </c>
      <c r="DC7">
        <v>8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197</v>
      </c>
      <c r="DR7">
        <v>283</v>
      </c>
      <c r="DS7">
        <v>0</v>
      </c>
      <c r="DT7">
        <v>4</v>
      </c>
      <c r="DU7">
        <v>0</v>
      </c>
      <c r="DV7">
        <v>4</v>
      </c>
      <c r="DW7">
        <v>35</v>
      </c>
      <c r="DX7" s="3">
        <v>1046</v>
      </c>
      <c r="DY7">
        <f t="shared" si="3"/>
        <v>16320</v>
      </c>
      <c r="DZ7">
        <f t="shared" si="4"/>
        <v>20262</v>
      </c>
    </row>
    <row r="8" spans="1:130" x14ac:dyDescent="0.35">
      <c r="A8" t="s">
        <v>10</v>
      </c>
      <c r="B8" s="10">
        <f t="shared" si="0"/>
        <v>0.68805053830411955</v>
      </c>
      <c r="C8" s="10">
        <f t="shared" si="1"/>
        <v>0.65647779986746191</v>
      </c>
      <c r="D8" s="10">
        <f t="shared" si="2"/>
        <v>0.67170005576766334</v>
      </c>
      <c r="E8">
        <v>0</v>
      </c>
      <c r="F8">
        <v>0</v>
      </c>
      <c r="G8" s="3">
        <v>7733</v>
      </c>
      <c r="H8">
        <v>4</v>
      </c>
      <c r="I8">
        <v>4</v>
      </c>
      <c r="J8">
        <v>0</v>
      </c>
      <c r="K8">
        <v>3</v>
      </c>
      <c r="L8">
        <v>0</v>
      </c>
      <c r="M8">
        <v>3</v>
      </c>
      <c r="N8">
        <v>60</v>
      </c>
      <c r="O8">
        <v>133</v>
      </c>
      <c r="P8">
        <v>51</v>
      </c>
      <c r="Q8">
        <v>59</v>
      </c>
      <c r="R8">
        <v>0</v>
      </c>
      <c r="S8">
        <v>0</v>
      </c>
      <c r="T8">
        <v>0</v>
      </c>
      <c r="U8">
        <v>0</v>
      </c>
      <c r="V8">
        <v>3</v>
      </c>
      <c r="W8">
        <v>298</v>
      </c>
      <c r="X8">
        <v>32</v>
      </c>
      <c r="Y8">
        <v>49</v>
      </c>
      <c r="Z8">
        <v>0</v>
      </c>
      <c r="AA8">
        <v>38</v>
      </c>
      <c r="AB8">
        <v>282</v>
      </c>
      <c r="AC8">
        <v>89</v>
      </c>
      <c r="AD8">
        <v>0</v>
      </c>
      <c r="AE8">
        <v>3</v>
      </c>
      <c r="AF8">
        <v>66</v>
      </c>
      <c r="AG8">
        <v>402</v>
      </c>
      <c r="AH8">
        <v>0</v>
      </c>
      <c r="AI8">
        <v>0</v>
      </c>
      <c r="AJ8">
        <v>34</v>
      </c>
      <c r="AK8">
        <v>0</v>
      </c>
      <c r="AL8">
        <v>261</v>
      </c>
      <c r="AM8">
        <v>24</v>
      </c>
      <c r="AN8">
        <v>320</v>
      </c>
      <c r="AO8">
        <v>0</v>
      </c>
      <c r="AP8">
        <v>0</v>
      </c>
      <c r="AQ8">
        <v>174</v>
      </c>
      <c r="AR8">
        <v>10</v>
      </c>
      <c r="AS8">
        <v>16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380</v>
      </c>
      <c r="BH8">
        <v>136</v>
      </c>
      <c r="BI8">
        <v>0</v>
      </c>
      <c r="BJ8">
        <v>6</v>
      </c>
      <c r="BK8">
        <v>0</v>
      </c>
      <c r="BL8">
        <v>5</v>
      </c>
      <c r="BM8">
        <v>10</v>
      </c>
      <c r="BN8">
        <v>551</v>
      </c>
      <c r="BO8">
        <v>0</v>
      </c>
      <c r="BP8">
        <v>0</v>
      </c>
      <c r="BQ8" s="3">
        <v>7925</v>
      </c>
      <c r="BR8">
        <v>5</v>
      </c>
      <c r="BS8">
        <v>0</v>
      </c>
      <c r="BT8">
        <v>4</v>
      </c>
      <c r="BU8">
        <v>0</v>
      </c>
      <c r="BV8">
        <v>0</v>
      </c>
      <c r="BW8">
        <v>10</v>
      </c>
      <c r="BX8">
        <v>92</v>
      </c>
      <c r="BY8">
        <v>169</v>
      </c>
      <c r="BZ8">
        <v>71</v>
      </c>
      <c r="CA8">
        <v>77</v>
      </c>
      <c r="CB8">
        <v>0</v>
      </c>
      <c r="CC8">
        <v>0</v>
      </c>
      <c r="CD8">
        <v>0</v>
      </c>
      <c r="CE8">
        <v>6</v>
      </c>
      <c r="CF8">
        <v>13</v>
      </c>
      <c r="CG8">
        <v>350</v>
      </c>
      <c r="CH8">
        <v>60</v>
      </c>
      <c r="CI8">
        <v>47</v>
      </c>
      <c r="CJ8">
        <v>0</v>
      </c>
      <c r="CK8">
        <v>67</v>
      </c>
      <c r="CL8">
        <v>260</v>
      </c>
      <c r="CM8">
        <v>110</v>
      </c>
      <c r="CN8">
        <v>0</v>
      </c>
      <c r="CO8">
        <v>5</v>
      </c>
      <c r="CP8">
        <v>58</v>
      </c>
      <c r="CQ8">
        <v>499</v>
      </c>
      <c r="CR8">
        <v>0</v>
      </c>
      <c r="CS8">
        <v>0</v>
      </c>
      <c r="CT8">
        <v>40</v>
      </c>
      <c r="CU8">
        <v>0</v>
      </c>
      <c r="CV8">
        <v>285</v>
      </c>
      <c r="CW8">
        <v>32</v>
      </c>
      <c r="CX8">
        <v>362</v>
      </c>
      <c r="CY8">
        <v>0</v>
      </c>
      <c r="CZ8">
        <v>0</v>
      </c>
      <c r="DA8">
        <v>207</v>
      </c>
      <c r="DB8">
        <v>5</v>
      </c>
      <c r="DC8">
        <v>12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272</v>
      </c>
      <c r="DR8">
        <v>139</v>
      </c>
      <c r="DS8">
        <v>0</v>
      </c>
      <c r="DT8">
        <v>0</v>
      </c>
      <c r="DU8">
        <v>0</v>
      </c>
      <c r="DV8">
        <v>4</v>
      </c>
      <c r="DW8">
        <v>12</v>
      </c>
      <c r="DX8">
        <v>874</v>
      </c>
      <c r="DY8">
        <f t="shared" si="3"/>
        <v>11239</v>
      </c>
      <c r="DZ8">
        <f t="shared" si="4"/>
        <v>12072</v>
      </c>
    </row>
    <row r="9" spans="1:130" x14ac:dyDescent="0.35">
      <c r="A9" t="s">
        <v>11</v>
      </c>
      <c r="B9" s="10">
        <f t="shared" si="0"/>
        <v>0.86218978102189781</v>
      </c>
      <c r="C9" s="10">
        <f t="shared" si="1"/>
        <v>0.86307171089779788</v>
      </c>
      <c r="D9" s="10">
        <f t="shared" si="2"/>
        <v>0.86263815128462751</v>
      </c>
      <c r="E9">
        <v>0</v>
      </c>
      <c r="F9">
        <v>0</v>
      </c>
      <c r="G9" s="3">
        <v>2953</v>
      </c>
      <c r="H9">
        <v>0</v>
      </c>
      <c r="I9">
        <v>0</v>
      </c>
      <c r="J9">
        <v>0</v>
      </c>
      <c r="K9">
        <v>0</v>
      </c>
      <c r="L9">
        <v>0</v>
      </c>
      <c r="M9">
        <v>5</v>
      </c>
      <c r="N9">
        <v>14</v>
      </c>
      <c r="O9">
        <v>3</v>
      </c>
      <c r="P9">
        <v>11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3</v>
      </c>
      <c r="X9">
        <v>0</v>
      </c>
      <c r="Y9">
        <v>0</v>
      </c>
      <c r="Z9">
        <v>0</v>
      </c>
      <c r="AA9">
        <v>0</v>
      </c>
      <c r="AB9">
        <v>12</v>
      </c>
      <c r="AC9">
        <v>5</v>
      </c>
      <c r="AD9">
        <v>0</v>
      </c>
      <c r="AE9">
        <v>0</v>
      </c>
      <c r="AF9">
        <v>3</v>
      </c>
      <c r="AG9">
        <v>8</v>
      </c>
      <c r="AH9">
        <v>0</v>
      </c>
      <c r="AI9">
        <v>0</v>
      </c>
      <c r="AJ9">
        <v>0</v>
      </c>
      <c r="AK9">
        <v>7</v>
      </c>
      <c r="AL9">
        <v>10</v>
      </c>
      <c r="AM9">
        <v>15</v>
      </c>
      <c r="AN9">
        <v>24</v>
      </c>
      <c r="AO9">
        <v>0</v>
      </c>
      <c r="AP9">
        <v>0</v>
      </c>
      <c r="AQ9">
        <v>84</v>
      </c>
      <c r="AR9">
        <v>4</v>
      </c>
      <c r="AS9">
        <v>4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3</v>
      </c>
      <c r="BH9">
        <v>9</v>
      </c>
      <c r="BI9">
        <v>0</v>
      </c>
      <c r="BJ9">
        <v>0</v>
      </c>
      <c r="BK9">
        <v>0</v>
      </c>
      <c r="BL9">
        <v>3</v>
      </c>
      <c r="BM9">
        <v>4</v>
      </c>
      <c r="BN9">
        <v>241</v>
      </c>
      <c r="BO9">
        <v>0</v>
      </c>
      <c r="BP9">
        <v>0</v>
      </c>
      <c r="BQ9" s="3">
        <v>3057</v>
      </c>
      <c r="BR9">
        <v>3</v>
      </c>
      <c r="BS9">
        <v>3</v>
      </c>
      <c r="BT9">
        <v>0</v>
      </c>
      <c r="BU9">
        <v>0</v>
      </c>
      <c r="BV9">
        <v>0</v>
      </c>
      <c r="BW9">
        <v>3</v>
      </c>
      <c r="BX9">
        <v>6</v>
      </c>
      <c r="BY9">
        <v>3</v>
      </c>
      <c r="BZ9">
        <v>12</v>
      </c>
      <c r="CA9">
        <v>7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3</v>
      </c>
      <c r="CI9">
        <v>0</v>
      </c>
      <c r="CJ9">
        <v>0</v>
      </c>
      <c r="CK9">
        <v>0</v>
      </c>
      <c r="CL9">
        <v>16</v>
      </c>
      <c r="CM9">
        <v>8</v>
      </c>
      <c r="CN9">
        <v>0</v>
      </c>
      <c r="CO9">
        <v>0</v>
      </c>
      <c r="CP9">
        <v>6</v>
      </c>
      <c r="CQ9">
        <v>15</v>
      </c>
      <c r="CR9">
        <v>0</v>
      </c>
      <c r="CS9">
        <v>0</v>
      </c>
      <c r="CT9">
        <v>0</v>
      </c>
      <c r="CU9">
        <v>7</v>
      </c>
      <c r="CV9">
        <v>4</v>
      </c>
      <c r="CW9">
        <v>7</v>
      </c>
      <c r="CX9">
        <v>15</v>
      </c>
      <c r="CY9">
        <v>0</v>
      </c>
      <c r="CZ9">
        <v>0</v>
      </c>
      <c r="DA9">
        <v>105</v>
      </c>
      <c r="DB9">
        <v>3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9</v>
      </c>
      <c r="DR9">
        <v>3</v>
      </c>
      <c r="DS9">
        <v>0</v>
      </c>
      <c r="DT9">
        <v>0</v>
      </c>
      <c r="DU9">
        <v>0</v>
      </c>
      <c r="DV9">
        <v>4</v>
      </c>
      <c r="DW9">
        <v>0</v>
      </c>
      <c r="DX9">
        <v>243</v>
      </c>
      <c r="DY9">
        <f t="shared" si="3"/>
        <v>3425</v>
      </c>
      <c r="DZ9">
        <f t="shared" si="4"/>
        <v>3542</v>
      </c>
    </row>
    <row r="10" spans="1:130" x14ac:dyDescent="0.35">
      <c r="A10" t="s">
        <v>12</v>
      </c>
      <c r="B10" s="10">
        <f t="shared" si="0"/>
        <v>0.91517531044558076</v>
      </c>
      <c r="C10" s="10">
        <f t="shared" si="1"/>
        <v>0.9170821791320406</v>
      </c>
      <c r="D10" s="10">
        <f t="shared" si="2"/>
        <v>0.91612340464603803</v>
      </c>
      <c r="E10">
        <v>0</v>
      </c>
      <c r="F10">
        <v>7</v>
      </c>
      <c r="G10" s="3">
        <v>10023</v>
      </c>
      <c r="H10">
        <v>32</v>
      </c>
      <c r="I10">
        <v>15</v>
      </c>
      <c r="J10">
        <v>0</v>
      </c>
      <c r="K10">
        <v>0</v>
      </c>
      <c r="L10">
        <v>0</v>
      </c>
      <c r="M10">
        <v>26</v>
      </c>
      <c r="N10">
        <v>20</v>
      </c>
      <c r="O10">
        <v>12</v>
      </c>
      <c r="P10">
        <v>35</v>
      </c>
      <c r="Q10">
        <v>0</v>
      </c>
      <c r="R10">
        <v>0</v>
      </c>
      <c r="S10">
        <v>0</v>
      </c>
      <c r="T10">
        <v>5</v>
      </c>
      <c r="U10">
        <v>0</v>
      </c>
      <c r="V10">
        <v>6</v>
      </c>
      <c r="W10">
        <v>13</v>
      </c>
      <c r="X10">
        <v>6</v>
      </c>
      <c r="Y10">
        <v>0</v>
      </c>
      <c r="Z10">
        <v>0</v>
      </c>
      <c r="AA10">
        <v>7</v>
      </c>
      <c r="AB10">
        <v>12</v>
      </c>
      <c r="AC10">
        <v>0</v>
      </c>
      <c r="AD10">
        <v>0</v>
      </c>
      <c r="AE10">
        <v>0</v>
      </c>
      <c r="AF10">
        <v>5</v>
      </c>
      <c r="AG10">
        <v>6</v>
      </c>
      <c r="AH10">
        <v>0</v>
      </c>
      <c r="AI10">
        <v>0</v>
      </c>
      <c r="AJ10">
        <v>0</v>
      </c>
      <c r="AK10">
        <v>0</v>
      </c>
      <c r="AL10">
        <v>5</v>
      </c>
      <c r="AM10">
        <v>17</v>
      </c>
      <c r="AN10">
        <v>32</v>
      </c>
      <c r="AO10">
        <v>0</v>
      </c>
      <c r="AP10">
        <v>0</v>
      </c>
      <c r="AQ10">
        <v>126</v>
      </c>
      <c r="AR10">
        <v>26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5</v>
      </c>
      <c r="BI10">
        <v>0</v>
      </c>
      <c r="BJ10">
        <v>0</v>
      </c>
      <c r="BK10">
        <v>0</v>
      </c>
      <c r="BL10">
        <v>3</v>
      </c>
      <c r="BM10">
        <v>6</v>
      </c>
      <c r="BN10">
        <v>502</v>
      </c>
      <c r="BO10">
        <v>0</v>
      </c>
      <c r="BP10">
        <v>0</v>
      </c>
      <c r="BQ10" s="3">
        <v>9932</v>
      </c>
      <c r="BR10">
        <v>21</v>
      </c>
      <c r="BS10">
        <v>14</v>
      </c>
      <c r="BT10">
        <v>6</v>
      </c>
      <c r="BU10">
        <v>0</v>
      </c>
      <c r="BV10">
        <v>0</v>
      </c>
      <c r="BW10">
        <v>13</v>
      </c>
      <c r="BX10">
        <v>44</v>
      </c>
      <c r="BY10">
        <v>16</v>
      </c>
      <c r="BZ10">
        <v>21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5</v>
      </c>
      <c r="CG10">
        <v>13</v>
      </c>
      <c r="CH10">
        <v>8</v>
      </c>
      <c r="CI10">
        <v>4</v>
      </c>
      <c r="CJ10">
        <v>0</v>
      </c>
      <c r="CK10">
        <v>4</v>
      </c>
      <c r="CL10">
        <v>9</v>
      </c>
      <c r="CM10">
        <v>7</v>
      </c>
      <c r="CN10">
        <v>0</v>
      </c>
      <c r="CO10">
        <v>0</v>
      </c>
      <c r="CP10">
        <v>0</v>
      </c>
      <c r="CQ10">
        <v>11</v>
      </c>
      <c r="CR10">
        <v>0</v>
      </c>
      <c r="CS10">
        <v>0</v>
      </c>
      <c r="CT10">
        <v>0</v>
      </c>
      <c r="CU10">
        <v>0</v>
      </c>
      <c r="CV10">
        <v>18</v>
      </c>
      <c r="CW10">
        <v>13</v>
      </c>
      <c r="CX10">
        <v>14</v>
      </c>
      <c r="CY10">
        <v>0</v>
      </c>
      <c r="CZ10">
        <v>0</v>
      </c>
      <c r="DA10">
        <v>87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4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8</v>
      </c>
      <c r="DR10">
        <v>8</v>
      </c>
      <c r="DS10">
        <v>0</v>
      </c>
      <c r="DT10">
        <v>0</v>
      </c>
      <c r="DU10">
        <v>0</v>
      </c>
      <c r="DV10">
        <v>3</v>
      </c>
      <c r="DW10">
        <v>11</v>
      </c>
      <c r="DX10">
        <v>536</v>
      </c>
      <c r="DY10">
        <f t="shared" si="3"/>
        <v>10952</v>
      </c>
      <c r="DZ10">
        <f t="shared" si="4"/>
        <v>10830</v>
      </c>
    </row>
    <row r="11" spans="1:130" x14ac:dyDescent="0.35">
      <c r="A11" t="s">
        <v>13</v>
      </c>
      <c r="B11" s="10">
        <f t="shared" si="0"/>
        <v>0.90943532383185999</v>
      </c>
      <c r="C11" s="10">
        <f t="shared" si="1"/>
        <v>0.91755962668510194</v>
      </c>
      <c r="D11" s="10">
        <f t="shared" si="2"/>
        <v>0.91358460587871837</v>
      </c>
      <c r="E11">
        <v>0</v>
      </c>
      <c r="F11">
        <v>0</v>
      </c>
      <c r="G11" s="3">
        <v>5041</v>
      </c>
      <c r="H11">
        <v>23</v>
      </c>
      <c r="I11">
        <v>22</v>
      </c>
      <c r="J11">
        <v>3</v>
      </c>
      <c r="K11">
        <v>0</v>
      </c>
      <c r="L11">
        <v>0</v>
      </c>
      <c r="M11">
        <v>17</v>
      </c>
      <c r="N11">
        <v>30</v>
      </c>
      <c r="O11">
        <v>10</v>
      </c>
      <c r="P11">
        <v>27</v>
      </c>
      <c r="Q11">
        <v>0</v>
      </c>
      <c r="R11">
        <v>0</v>
      </c>
      <c r="S11">
        <v>0</v>
      </c>
      <c r="T11">
        <v>0</v>
      </c>
      <c r="U11">
        <v>0</v>
      </c>
      <c r="V11">
        <v>5</v>
      </c>
      <c r="W11">
        <v>26</v>
      </c>
      <c r="X11">
        <v>9</v>
      </c>
      <c r="Y11">
        <v>4</v>
      </c>
      <c r="Z11">
        <v>0</v>
      </c>
      <c r="AA11">
        <v>13</v>
      </c>
      <c r="AB11">
        <v>17</v>
      </c>
      <c r="AC11">
        <v>4</v>
      </c>
      <c r="AD11">
        <v>0</v>
      </c>
      <c r="AE11">
        <v>0</v>
      </c>
      <c r="AF11">
        <v>3</v>
      </c>
      <c r="AG11">
        <v>9</v>
      </c>
      <c r="AH11">
        <v>0</v>
      </c>
      <c r="AI11">
        <v>0</v>
      </c>
      <c r="AJ11">
        <v>0</v>
      </c>
      <c r="AK11">
        <v>0</v>
      </c>
      <c r="AL11">
        <v>7</v>
      </c>
      <c r="AM11">
        <v>5</v>
      </c>
      <c r="AN11">
        <v>9</v>
      </c>
      <c r="AO11">
        <v>0</v>
      </c>
      <c r="AP11">
        <v>0</v>
      </c>
      <c r="AQ11">
        <v>39</v>
      </c>
      <c r="AR11">
        <v>14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8</v>
      </c>
      <c r="BM11">
        <v>10</v>
      </c>
      <c r="BN11">
        <v>188</v>
      </c>
      <c r="BO11">
        <v>0</v>
      </c>
      <c r="BP11">
        <v>0</v>
      </c>
      <c r="BQ11" s="3">
        <v>5309</v>
      </c>
      <c r="BR11">
        <v>10</v>
      </c>
      <c r="BS11">
        <v>10</v>
      </c>
      <c r="BT11">
        <v>4</v>
      </c>
      <c r="BU11">
        <v>3</v>
      </c>
      <c r="BV11">
        <v>0</v>
      </c>
      <c r="BW11">
        <v>12</v>
      </c>
      <c r="BX11">
        <v>40</v>
      </c>
      <c r="BY11">
        <v>3</v>
      </c>
      <c r="BZ11">
        <v>29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3</v>
      </c>
      <c r="CG11">
        <v>32</v>
      </c>
      <c r="CH11">
        <v>4</v>
      </c>
      <c r="CI11">
        <v>0</v>
      </c>
      <c r="CJ11">
        <v>0</v>
      </c>
      <c r="CK11">
        <v>9</v>
      </c>
      <c r="CL11">
        <v>17</v>
      </c>
      <c r="CM11">
        <v>3</v>
      </c>
      <c r="CN11">
        <v>0</v>
      </c>
      <c r="CO11">
        <v>0</v>
      </c>
      <c r="CP11">
        <v>0</v>
      </c>
      <c r="CQ11">
        <v>19</v>
      </c>
      <c r="CR11">
        <v>0</v>
      </c>
      <c r="CS11">
        <v>0</v>
      </c>
      <c r="CT11">
        <v>0</v>
      </c>
      <c r="CU11">
        <v>0</v>
      </c>
      <c r="CV11">
        <v>9</v>
      </c>
      <c r="CW11">
        <v>4</v>
      </c>
      <c r="CX11">
        <v>7</v>
      </c>
      <c r="CY11">
        <v>0</v>
      </c>
      <c r="CZ11">
        <v>0</v>
      </c>
      <c r="DA11">
        <v>43</v>
      </c>
      <c r="DB11">
        <v>8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6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4</v>
      </c>
      <c r="DX11">
        <v>198</v>
      </c>
      <c r="DY11">
        <f t="shared" si="3"/>
        <v>5543</v>
      </c>
      <c r="DZ11">
        <f t="shared" si="4"/>
        <v>5786</v>
      </c>
    </row>
    <row r="12" spans="1:130" x14ac:dyDescent="0.35">
      <c r="A12" t="s">
        <v>14</v>
      </c>
      <c r="B12" s="10">
        <f t="shared" si="0"/>
        <v>0.62215620924503701</v>
      </c>
      <c r="C12" s="10">
        <f t="shared" si="1"/>
        <v>0.5622516195764603</v>
      </c>
      <c r="D12" s="10">
        <f t="shared" si="2"/>
        <v>0.58795188212986849</v>
      </c>
      <c r="E12">
        <v>0</v>
      </c>
      <c r="F12">
        <v>0</v>
      </c>
      <c r="G12" s="3">
        <v>8587</v>
      </c>
      <c r="H12">
        <v>5</v>
      </c>
      <c r="I12">
        <v>11</v>
      </c>
      <c r="J12">
        <v>0</v>
      </c>
      <c r="K12">
        <v>0</v>
      </c>
      <c r="L12">
        <v>0</v>
      </c>
      <c r="M12">
        <v>11</v>
      </c>
      <c r="N12">
        <v>299</v>
      </c>
      <c r="O12">
        <v>44</v>
      </c>
      <c r="P12">
        <v>191</v>
      </c>
      <c r="Q12">
        <v>9</v>
      </c>
      <c r="R12">
        <v>0</v>
      </c>
      <c r="S12">
        <v>0</v>
      </c>
      <c r="T12">
        <v>0</v>
      </c>
      <c r="U12">
        <v>0</v>
      </c>
      <c r="V12">
        <v>8</v>
      </c>
      <c r="W12">
        <v>559</v>
      </c>
      <c r="X12">
        <v>5</v>
      </c>
      <c r="Y12">
        <v>48</v>
      </c>
      <c r="Z12">
        <v>0</v>
      </c>
      <c r="AA12">
        <v>176</v>
      </c>
      <c r="AB12" s="3">
        <v>1130</v>
      </c>
      <c r="AC12">
        <v>111</v>
      </c>
      <c r="AD12">
        <v>0</v>
      </c>
      <c r="AE12">
        <v>0</v>
      </c>
      <c r="AF12">
        <v>270</v>
      </c>
      <c r="AG12">
        <v>596</v>
      </c>
      <c r="AH12">
        <v>0</v>
      </c>
      <c r="AI12">
        <v>0</v>
      </c>
      <c r="AJ12">
        <v>6</v>
      </c>
      <c r="AK12">
        <v>0</v>
      </c>
      <c r="AL12">
        <v>448</v>
      </c>
      <c r="AM12">
        <v>15</v>
      </c>
      <c r="AN12">
        <v>139</v>
      </c>
      <c r="AO12">
        <v>0</v>
      </c>
      <c r="AP12">
        <v>0</v>
      </c>
      <c r="AQ12">
        <v>285</v>
      </c>
      <c r="AR12">
        <v>14</v>
      </c>
      <c r="AS12">
        <v>3</v>
      </c>
      <c r="AT12">
        <v>5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159</v>
      </c>
      <c r="BH12">
        <v>96</v>
      </c>
      <c r="BI12">
        <v>0</v>
      </c>
      <c r="BJ12">
        <v>0</v>
      </c>
      <c r="BK12">
        <v>0</v>
      </c>
      <c r="BL12">
        <v>4</v>
      </c>
      <c r="BM12">
        <v>20</v>
      </c>
      <c r="BN12">
        <v>548</v>
      </c>
      <c r="BO12">
        <v>0</v>
      </c>
      <c r="BP12">
        <v>0</v>
      </c>
      <c r="BQ12" s="3">
        <v>10328</v>
      </c>
      <c r="BR12">
        <v>23</v>
      </c>
      <c r="BS12">
        <v>17</v>
      </c>
      <c r="BT12">
        <v>8</v>
      </c>
      <c r="BU12">
        <v>0</v>
      </c>
      <c r="BV12">
        <v>0</v>
      </c>
      <c r="BW12">
        <v>20</v>
      </c>
      <c r="BX12">
        <v>384</v>
      </c>
      <c r="BY12">
        <v>75</v>
      </c>
      <c r="BZ12">
        <v>275</v>
      </c>
      <c r="CA12">
        <v>17</v>
      </c>
      <c r="CB12">
        <v>0</v>
      </c>
      <c r="CC12">
        <v>0</v>
      </c>
      <c r="CD12">
        <v>0</v>
      </c>
      <c r="CE12">
        <v>0</v>
      </c>
      <c r="CF12">
        <v>6</v>
      </c>
      <c r="CG12">
        <v>818</v>
      </c>
      <c r="CH12">
        <v>8</v>
      </c>
      <c r="CI12">
        <v>63</v>
      </c>
      <c r="CJ12">
        <v>0</v>
      </c>
      <c r="CK12">
        <v>231</v>
      </c>
      <c r="CL12" s="3">
        <v>1186</v>
      </c>
      <c r="CM12">
        <v>194</v>
      </c>
      <c r="CN12">
        <v>5</v>
      </c>
      <c r="CO12">
        <v>17</v>
      </c>
      <c r="CP12">
        <v>241</v>
      </c>
      <c r="CQ12" s="3">
        <v>1378</v>
      </c>
      <c r="CR12">
        <v>0</v>
      </c>
      <c r="CS12">
        <v>0</v>
      </c>
      <c r="CT12">
        <v>4</v>
      </c>
      <c r="CU12">
        <v>0</v>
      </c>
      <c r="CV12">
        <v>656</v>
      </c>
      <c r="CW12">
        <v>37</v>
      </c>
      <c r="CX12">
        <v>279</v>
      </c>
      <c r="CY12">
        <v>0</v>
      </c>
      <c r="CZ12">
        <v>0</v>
      </c>
      <c r="DA12">
        <v>859</v>
      </c>
      <c r="DB12">
        <v>10</v>
      </c>
      <c r="DC12">
        <v>23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3</v>
      </c>
      <c r="DO12">
        <v>0</v>
      </c>
      <c r="DP12">
        <v>0</v>
      </c>
      <c r="DQ12">
        <v>177</v>
      </c>
      <c r="DR12">
        <v>132</v>
      </c>
      <c r="DS12">
        <v>0</v>
      </c>
      <c r="DT12">
        <v>0</v>
      </c>
      <c r="DU12">
        <v>0</v>
      </c>
      <c r="DV12">
        <v>13</v>
      </c>
      <c r="DW12">
        <v>25</v>
      </c>
      <c r="DX12">
        <v>857</v>
      </c>
      <c r="DY12">
        <f t="shared" si="3"/>
        <v>13802</v>
      </c>
      <c r="DZ12">
        <f t="shared" si="4"/>
        <v>18369</v>
      </c>
    </row>
    <row r="13" spans="1:130" x14ac:dyDescent="0.35">
      <c r="A13" t="s">
        <v>15</v>
      </c>
      <c r="B13" s="10">
        <f t="shared" si="0"/>
        <v>0.6345116456178207</v>
      </c>
      <c r="C13" s="10">
        <f t="shared" si="1"/>
        <v>0.60210595231600195</v>
      </c>
      <c r="D13" s="10">
        <f t="shared" si="2"/>
        <v>0.61708619374523266</v>
      </c>
      <c r="E13">
        <v>0</v>
      </c>
      <c r="F13">
        <v>0</v>
      </c>
      <c r="G13" s="3">
        <v>9998</v>
      </c>
      <c r="H13">
        <v>19</v>
      </c>
      <c r="I13">
        <v>28</v>
      </c>
      <c r="J13">
        <v>3</v>
      </c>
      <c r="K13">
        <v>0</v>
      </c>
      <c r="L13">
        <v>0</v>
      </c>
      <c r="M13">
        <v>24</v>
      </c>
      <c r="N13">
        <v>73</v>
      </c>
      <c r="O13">
        <v>117</v>
      </c>
      <c r="P13">
        <v>63</v>
      </c>
      <c r="Q13">
        <v>22</v>
      </c>
      <c r="R13">
        <v>0</v>
      </c>
      <c r="S13">
        <v>0</v>
      </c>
      <c r="T13">
        <v>0</v>
      </c>
      <c r="U13">
        <v>7</v>
      </c>
      <c r="V13">
        <v>34</v>
      </c>
      <c r="W13">
        <v>179</v>
      </c>
      <c r="X13">
        <v>44</v>
      </c>
      <c r="Y13">
        <v>39</v>
      </c>
      <c r="Z13">
        <v>0</v>
      </c>
      <c r="AA13">
        <v>57</v>
      </c>
      <c r="AB13">
        <v>433</v>
      </c>
      <c r="AC13">
        <v>30</v>
      </c>
      <c r="AD13">
        <v>0</v>
      </c>
      <c r="AE13">
        <v>19</v>
      </c>
      <c r="AF13">
        <v>243</v>
      </c>
      <c r="AG13">
        <v>989</v>
      </c>
      <c r="AH13">
        <v>0</v>
      </c>
      <c r="AI13">
        <v>0</v>
      </c>
      <c r="AJ13">
        <v>426</v>
      </c>
      <c r="AK13">
        <v>0</v>
      </c>
      <c r="AL13">
        <v>191</v>
      </c>
      <c r="AM13">
        <v>41</v>
      </c>
      <c r="AN13">
        <v>471</v>
      </c>
      <c r="AO13">
        <v>0</v>
      </c>
      <c r="AP13">
        <v>0</v>
      </c>
      <c r="AQ13">
        <v>439</v>
      </c>
      <c r="AR13">
        <v>23</v>
      </c>
      <c r="AS13">
        <v>62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696</v>
      </c>
      <c r="BH13">
        <v>247</v>
      </c>
      <c r="BI13">
        <v>0</v>
      </c>
      <c r="BJ13">
        <v>0</v>
      </c>
      <c r="BK13">
        <v>0</v>
      </c>
      <c r="BL13">
        <v>10</v>
      </c>
      <c r="BM13">
        <v>28</v>
      </c>
      <c r="BN13">
        <v>702</v>
      </c>
      <c r="BO13">
        <v>0</v>
      </c>
      <c r="BP13">
        <v>0</v>
      </c>
      <c r="BQ13" s="3">
        <v>11036</v>
      </c>
      <c r="BR13">
        <v>14</v>
      </c>
      <c r="BS13">
        <v>41</v>
      </c>
      <c r="BT13">
        <v>0</v>
      </c>
      <c r="BU13">
        <v>0</v>
      </c>
      <c r="BV13">
        <v>0</v>
      </c>
      <c r="BW13">
        <v>46</v>
      </c>
      <c r="BX13">
        <v>86</v>
      </c>
      <c r="BY13">
        <v>130</v>
      </c>
      <c r="BZ13">
        <v>81</v>
      </c>
      <c r="CA13">
        <v>24</v>
      </c>
      <c r="CB13">
        <v>0</v>
      </c>
      <c r="CC13">
        <v>0</v>
      </c>
      <c r="CD13">
        <v>0</v>
      </c>
      <c r="CE13">
        <v>7</v>
      </c>
      <c r="CF13">
        <v>22</v>
      </c>
      <c r="CG13">
        <v>220</v>
      </c>
      <c r="CH13">
        <v>52</v>
      </c>
      <c r="CI13">
        <v>59</v>
      </c>
      <c r="CJ13">
        <v>0</v>
      </c>
      <c r="CK13">
        <v>72</v>
      </c>
      <c r="CL13">
        <v>442</v>
      </c>
      <c r="CM13">
        <v>41</v>
      </c>
      <c r="CN13">
        <v>0</v>
      </c>
      <c r="CO13">
        <v>14</v>
      </c>
      <c r="CP13">
        <v>217</v>
      </c>
      <c r="CQ13" s="3">
        <v>1613</v>
      </c>
      <c r="CR13">
        <v>3</v>
      </c>
      <c r="CS13">
        <v>0</v>
      </c>
      <c r="CT13">
        <v>469</v>
      </c>
      <c r="CU13">
        <v>0</v>
      </c>
      <c r="CV13">
        <v>208</v>
      </c>
      <c r="CW13">
        <v>50</v>
      </c>
      <c r="CX13">
        <v>620</v>
      </c>
      <c r="CY13">
        <v>0</v>
      </c>
      <c r="CZ13">
        <v>0</v>
      </c>
      <c r="DA13">
        <v>648</v>
      </c>
      <c r="DB13">
        <v>23</v>
      </c>
      <c r="DC13">
        <v>39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591</v>
      </c>
      <c r="DR13">
        <v>273</v>
      </c>
      <c r="DS13">
        <v>0</v>
      </c>
      <c r="DT13">
        <v>3</v>
      </c>
      <c r="DU13">
        <v>0</v>
      </c>
      <c r="DV13">
        <v>6</v>
      </c>
      <c r="DW13">
        <v>24</v>
      </c>
      <c r="DX13" s="3">
        <v>1155</v>
      </c>
      <c r="DY13">
        <f t="shared" si="3"/>
        <v>15757</v>
      </c>
      <c r="DZ13">
        <f t="shared" si="4"/>
        <v>18329</v>
      </c>
    </row>
    <row r="14" spans="1:130" x14ac:dyDescent="0.35">
      <c r="A14" t="s">
        <v>16</v>
      </c>
      <c r="B14" s="10">
        <f t="shared" si="0"/>
        <v>0.9064141196728368</v>
      </c>
      <c r="C14" s="10">
        <f t="shared" si="1"/>
        <v>0.90391096480915434</v>
      </c>
      <c r="D14" s="10">
        <f t="shared" si="2"/>
        <v>0.90510379913022077</v>
      </c>
      <c r="E14">
        <v>0</v>
      </c>
      <c r="F14">
        <v>0</v>
      </c>
      <c r="G14" s="3">
        <v>10528</v>
      </c>
      <c r="H14">
        <v>49</v>
      </c>
      <c r="I14">
        <v>26</v>
      </c>
      <c r="J14">
        <v>3</v>
      </c>
      <c r="K14">
        <v>0</v>
      </c>
      <c r="L14">
        <v>0</v>
      </c>
      <c r="M14">
        <v>16</v>
      </c>
      <c r="N14">
        <v>7</v>
      </c>
      <c r="O14">
        <v>9</v>
      </c>
      <c r="P14">
        <v>34</v>
      </c>
      <c r="Q14">
        <v>0</v>
      </c>
      <c r="R14">
        <v>0</v>
      </c>
      <c r="S14">
        <v>0</v>
      </c>
      <c r="T14">
        <v>3</v>
      </c>
      <c r="U14">
        <v>5</v>
      </c>
      <c r="V14">
        <v>14</v>
      </c>
      <c r="W14">
        <v>10</v>
      </c>
      <c r="X14">
        <v>13</v>
      </c>
      <c r="Y14">
        <v>12</v>
      </c>
      <c r="Z14">
        <v>0</v>
      </c>
      <c r="AA14">
        <v>0</v>
      </c>
      <c r="AB14">
        <v>21</v>
      </c>
      <c r="AC14">
        <v>4</v>
      </c>
      <c r="AD14">
        <v>0</v>
      </c>
      <c r="AE14">
        <v>0</v>
      </c>
      <c r="AF14">
        <v>3</v>
      </c>
      <c r="AG14">
        <v>27</v>
      </c>
      <c r="AH14">
        <v>0</v>
      </c>
      <c r="AI14">
        <v>0</v>
      </c>
      <c r="AJ14">
        <v>106</v>
      </c>
      <c r="AK14">
        <v>0</v>
      </c>
      <c r="AL14">
        <v>21</v>
      </c>
      <c r="AM14">
        <v>11</v>
      </c>
      <c r="AN14">
        <v>29</v>
      </c>
      <c r="AO14">
        <v>0</v>
      </c>
      <c r="AP14">
        <v>0</v>
      </c>
      <c r="AQ14">
        <v>103</v>
      </c>
      <c r="AR14">
        <v>20</v>
      </c>
      <c r="AS14">
        <v>3</v>
      </c>
      <c r="AT14">
        <v>0</v>
      </c>
      <c r="AU14">
        <v>0</v>
      </c>
      <c r="AV14">
        <v>9</v>
      </c>
      <c r="AW14">
        <v>7</v>
      </c>
      <c r="AX14">
        <v>0</v>
      </c>
      <c r="AY14">
        <v>0</v>
      </c>
      <c r="AZ14">
        <v>3</v>
      </c>
      <c r="BA14">
        <v>6</v>
      </c>
      <c r="BB14">
        <v>0</v>
      </c>
      <c r="BC14">
        <v>0</v>
      </c>
      <c r="BD14">
        <v>9</v>
      </c>
      <c r="BE14">
        <v>0</v>
      </c>
      <c r="BF14">
        <v>0</v>
      </c>
      <c r="BG14">
        <v>8</v>
      </c>
      <c r="BH14">
        <v>9</v>
      </c>
      <c r="BI14">
        <v>0</v>
      </c>
      <c r="BJ14">
        <v>0</v>
      </c>
      <c r="BK14">
        <v>0</v>
      </c>
      <c r="BL14">
        <v>13</v>
      </c>
      <c r="BM14">
        <v>16</v>
      </c>
      <c r="BN14">
        <v>458</v>
      </c>
      <c r="BO14">
        <v>0</v>
      </c>
      <c r="BP14">
        <v>3</v>
      </c>
      <c r="BQ14" s="3">
        <v>11533</v>
      </c>
      <c r="BR14">
        <v>35</v>
      </c>
      <c r="BS14">
        <v>34</v>
      </c>
      <c r="BT14">
        <v>3</v>
      </c>
      <c r="BU14">
        <v>0</v>
      </c>
      <c r="BV14">
        <v>0</v>
      </c>
      <c r="BW14">
        <v>12</v>
      </c>
      <c r="BX14">
        <v>18</v>
      </c>
      <c r="BY14">
        <v>25</v>
      </c>
      <c r="BZ14">
        <v>30</v>
      </c>
      <c r="CA14">
        <v>0</v>
      </c>
      <c r="CB14">
        <v>0</v>
      </c>
      <c r="CC14">
        <v>0</v>
      </c>
      <c r="CD14">
        <v>0</v>
      </c>
      <c r="CE14">
        <v>3</v>
      </c>
      <c r="CF14">
        <v>7</v>
      </c>
      <c r="CG14">
        <v>18</v>
      </c>
      <c r="CH14">
        <v>20</v>
      </c>
      <c r="CI14">
        <v>5</v>
      </c>
      <c r="CJ14">
        <v>0</v>
      </c>
      <c r="CK14">
        <v>12</v>
      </c>
      <c r="CL14">
        <v>28</v>
      </c>
      <c r="CM14">
        <v>4</v>
      </c>
      <c r="CN14">
        <v>0</v>
      </c>
      <c r="CO14">
        <v>0</v>
      </c>
      <c r="CP14">
        <v>0</v>
      </c>
      <c r="CQ14">
        <v>55</v>
      </c>
      <c r="CR14">
        <v>0</v>
      </c>
      <c r="CS14">
        <v>0</v>
      </c>
      <c r="CT14">
        <v>141</v>
      </c>
      <c r="CU14">
        <v>0</v>
      </c>
      <c r="CV14">
        <v>21</v>
      </c>
      <c r="CW14">
        <v>6</v>
      </c>
      <c r="CX14">
        <v>42</v>
      </c>
      <c r="CY14">
        <v>0</v>
      </c>
      <c r="CZ14">
        <v>0</v>
      </c>
      <c r="DA14">
        <v>90</v>
      </c>
      <c r="DB14">
        <v>4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18</v>
      </c>
      <c r="DR14">
        <v>9</v>
      </c>
      <c r="DS14">
        <v>0</v>
      </c>
      <c r="DT14">
        <v>0</v>
      </c>
      <c r="DU14">
        <v>0</v>
      </c>
      <c r="DV14">
        <v>7</v>
      </c>
      <c r="DW14">
        <v>15</v>
      </c>
      <c r="DX14">
        <v>561</v>
      </c>
      <c r="DY14">
        <f t="shared" si="3"/>
        <v>11615</v>
      </c>
      <c r="DZ14">
        <f t="shared" si="4"/>
        <v>12759</v>
      </c>
    </row>
    <row r="15" spans="1:130" ht="15" x14ac:dyDescent="0.4">
      <c r="A15" s="11" t="s">
        <v>567</v>
      </c>
      <c r="B15" s="10">
        <f t="shared" si="0"/>
        <v>0.71473985814197361</v>
      </c>
      <c r="C15" s="10">
        <f t="shared" si="1"/>
        <v>0.6824916018260645</v>
      </c>
      <c r="D15" s="10">
        <f t="shared" si="2"/>
        <v>0.69748831708412851</v>
      </c>
      <c r="E15">
        <f>SUM(E5:E14)</f>
        <v>0</v>
      </c>
      <c r="F15">
        <f t="shared" ref="F15:BQ15" si="5">SUM(F5:F14)</f>
        <v>7</v>
      </c>
      <c r="G15">
        <f t="shared" si="5"/>
        <v>86560</v>
      </c>
      <c r="H15">
        <f t="shared" si="5"/>
        <v>188</v>
      </c>
      <c r="I15">
        <f t="shared" si="5"/>
        <v>175</v>
      </c>
      <c r="J15">
        <f t="shared" si="5"/>
        <v>18</v>
      </c>
      <c r="K15">
        <f t="shared" si="5"/>
        <v>6</v>
      </c>
      <c r="L15">
        <f t="shared" si="5"/>
        <v>0</v>
      </c>
      <c r="M15">
        <f t="shared" si="5"/>
        <v>216</v>
      </c>
      <c r="N15">
        <f t="shared" si="5"/>
        <v>751</v>
      </c>
      <c r="O15">
        <f t="shared" si="5"/>
        <v>580</v>
      </c>
      <c r="P15">
        <f t="shared" si="5"/>
        <v>639</v>
      </c>
      <c r="Q15">
        <f t="shared" si="5"/>
        <v>108</v>
      </c>
      <c r="R15">
        <f t="shared" si="5"/>
        <v>3</v>
      </c>
      <c r="S15">
        <f t="shared" si="5"/>
        <v>0</v>
      </c>
      <c r="T15">
        <f t="shared" si="5"/>
        <v>11</v>
      </c>
      <c r="U15">
        <f t="shared" si="5"/>
        <v>49</v>
      </c>
      <c r="V15">
        <f t="shared" si="5"/>
        <v>144</v>
      </c>
      <c r="W15">
        <f t="shared" si="5"/>
        <v>1479</v>
      </c>
      <c r="X15">
        <f t="shared" si="5"/>
        <v>209</v>
      </c>
      <c r="Y15">
        <f t="shared" si="5"/>
        <v>331</v>
      </c>
      <c r="Z15">
        <f t="shared" si="5"/>
        <v>0</v>
      </c>
      <c r="AA15">
        <f t="shared" si="5"/>
        <v>1697</v>
      </c>
      <c r="AB15">
        <f t="shared" si="5"/>
        <v>5434</v>
      </c>
      <c r="AC15">
        <f t="shared" si="5"/>
        <v>1590</v>
      </c>
      <c r="AD15">
        <f t="shared" si="5"/>
        <v>30</v>
      </c>
      <c r="AE15">
        <f t="shared" si="5"/>
        <v>76</v>
      </c>
      <c r="AF15">
        <f t="shared" si="5"/>
        <v>1326</v>
      </c>
      <c r="AG15">
        <f t="shared" si="5"/>
        <v>4425</v>
      </c>
      <c r="AH15">
        <f t="shared" si="5"/>
        <v>0</v>
      </c>
      <c r="AI15">
        <f t="shared" si="5"/>
        <v>0</v>
      </c>
      <c r="AJ15">
        <f t="shared" si="5"/>
        <v>587</v>
      </c>
      <c r="AK15">
        <f t="shared" si="5"/>
        <v>56</v>
      </c>
      <c r="AL15">
        <f t="shared" si="5"/>
        <v>1518</v>
      </c>
      <c r="AM15">
        <f t="shared" si="5"/>
        <v>201</v>
      </c>
      <c r="AN15">
        <f t="shared" si="5"/>
        <v>1692</v>
      </c>
      <c r="AO15">
        <f t="shared" si="5"/>
        <v>0</v>
      </c>
      <c r="AP15">
        <f t="shared" si="5"/>
        <v>0</v>
      </c>
      <c r="AQ15">
        <f t="shared" si="5"/>
        <v>2020</v>
      </c>
      <c r="AR15">
        <f t="shared" si="5"/>
        <v>152</v>
      </c>
      <c r="AS15">
        <f t="shared" si="5"/>
        <v>139</v>
      </c>
      <c r="AT15">
        <f t="shared" si="5"/>
        <v>5</v>
      </c>
      <c r="AU15">
        <f t="shared" si="5"/>
        <v>0</v>
      </c>
      <c r="AV15">
        <f t="shared" si="5"/>
        <v>9</v>
      </c>
      <c r="AW15">
        <f t="shared" si="5"/>
        <v>7</v>
      </c>
      <c r="AX15">
        <f t="shared" si="5"/>
        <v>0</v>
      </c>
      <c r="AY15">
        <f t="shared" si="5"/>
        <v>0</v>
      </c>
      <c r="AZ15">
        <f t="shared" si="5"/>
        <v>3</v>
      </c>
      <c r="BA15">
        <f t="shared" si="5"/>
        <v>6</v>
      </c>
      <c r="BB15">
        <f t="shared" si="5"/>
        <v>6</v>
      </c>
      <c r="BC15">
        <f t="shared" si="5"/>
        <v>0</v>
      </c>
      <c r="BD15">
        <f t="shared" si="5"/>
        <v>9</v>
      </c>
      <c r="BE15">
        <f t="shared" si="5"/>
        <v>0</v>
      </c>
      <c r="BF15">
        <f t="shared" si="5"/>
        <v>0</v>
      </c>
      <c r="BG15">
        <f t="shared" si="5"/>
        <v>1824</v>
      </c>
      <c r="BH15">
        <f t="shared" si="5"/>
        <v>1159</v>
      </c>
      <c r="BI15">
        <f t="shared" si="5"/>
        <v>0</v>
      </c>
      <c r="BJ15">
        <f t="shared" si="5"/>
        <v>12</v>
      </c>
      <c r="BK15">
        <f t="shared" si="5"/>
        <v>0</v>
      </c>
      <c r="BL15">
        <f t="shared" si="5"/>
        <v>84</v>
      </c>
      <c r="BM15">
        <f t="shared" si="5"/>
        <v>185</v>
      </c>
      <c r="BN15">
        <f t="shared" si="5"/>
        <v>5381</v>
      </c>
      <c r="BO15">
        <f t="shared" si="5"/>
        <v>0</v>
      </c>
      <c r="BP15">
        <f t="shared" si="5"/>
        <v>7</v>
      </c>
      <c r="BQ15">
        <f t="shared" si="5"/>
        <v>95082</v>
      </c>
      <c r="BR15">
        <f t="shared" ref="BR15:DX15" si="6">SUM(BR5:BR14)</f>
        <v>160</v>
      </c>
      <c r="BS15">
        <f t="shared" si="6"/>
        <v>177</v>
      </c>
      <c r="BT15">
        <f t="shared" si="6"/>
        <v>28</v>
      </c>
      <c r="BU15">
        <f t="shared" si="6"/>
        <v>6</v>
      </c>
      <c r="BV15">
        <f t="shared" si="6"/>
        <v>0</v>
      </c>
      <c r="BW15">
        <f t="shared" si="6"/>
        <v>308</v>
      </c>
      <c r="BX15">
        <f t="shared" si="6"/>
        <v>968</v>
      </c>
      <c r="BY15">
        <f t="shared" si="6"/>
        <v>870</v>
      </c>
      <c r="BZ15">
        <f t="shared" si="6"/>
        <v>787</v>
      </c>
      <c r="CA15">
        <f t="shared" si="6"/>
        <v>151</v>
      </c>
      <c r="CB15">
        <f t="shared" si="6"/>
        <v>0</v>
      </c>
      <c r="CC15">
        <f t="shared" si="6"/>
        <v>0</v>
      </c>
      <c r="CD15">
        <f t="shared" si="6"/>
        <v>5</v>
      </c>
      <c r="CE15">
        <f t="shared" si="6"/>
        <v>65</v>
      </c>
      <c r="CF15">
        <f t="shared" si="6"/>
        <v>131</v>
      </c>
      <c r="CG15">
        <f t="shared" si="6"/>
        <v>2040</v>
      </c>
      <c r="CH15">
        <f t="shared" si="6"/>
        <v>290</v>
      </c>
      <c r="CI15">
        <f t="shared" si="6"/>
        <v>484</v>
      </c>
      <c r="CJ15">
        <f t="shared" si="6"/>
        <v>0</v>
      </c>
      <c r="CK15">
        <f t="shared" si="6"/>
        <v>2775</v>
      </c>
      <c r="CL15">
        <f t="shared" si="6"/>
        <v>5652</v>
      </c>
      <c r="CM15">
        <f t="shared" si="6"/>
        <v>2285</v>
      </c>
      <c r="CN15">
        <f t="shared" si="6"/>
        <v>31</v>
      </c>
      <c r="CO15">
        <f t="shared" si="6"/>
        <v>79</v>
      </c>
      <c r="CP15">
        <f t="shared" si="6"/>
        <v>1024</v>
      </c>
      <c r="CQ15">
        <f t="shared" si="6"/>
        <v>7011</v>
      </c>
      <c r="CR15">
        <f t="shared" si="6"/>
        <v>3</v>
      </c>
      <c r="CS15">
        <f t="shared" si="6"/>
        <v>0</v>
      </c>
      <c r="CT15">
        <f t="shared" si="6"/>
        <v>675</v>
      </c>
      <c r="CU15">
        <f t="shared" si="6"/>
        <v>91</v>
      </c>
      <c r="CV15">
        <f t="shared" si="6"/>
        <v>1971</v>
      </c>
      <c r="CW15">
        <f t="shared" si="6"/>
        <v>224</v>
      </c>
      <c r="CX15">
        <f t="shared" si="6"/>
        <v>2126</v>
      </c>
      <c r="CY15">
        <f t="shared" si="6"/>
        <v>0</v>
      </c>
      <c r="CZ15">
        <f t="shared" si="6"/>
        <v>0</v>
      </c>
      <c r="DA15">
        <f t="shared" si="6"/>
        <v>2959</v>
      </c>
      <c r="DB15">
        <f t="shared" si="6"/>
        <v>75</v>
      </c>
      <c r="DC15">
        <f t="shared" si="6"/>
        <v>127</v>
      </c>
      <c r="DD15">
        <f t="shared" si="6"/>
        <v>0</v>
      </c>
      <c r="DE15">
        <f t="shared" si="6"/>
        <v>0</v>
      </c>
      <c r="DF15">
        <f t="shared" si="6"/>
        <v>0</v>
      </c>
      <c r="DG15">
        <f t="shared" si="6"/>
        <v>0</v>
      </c>
      <c r="DH15">
        <f t="shared" si="6"/>
        <v>0</v>
      </c>
      <c r="DI15">
        <f t="shared" si="6"/>
        <v>4</v>
      </c>
      <c r="DJ15">
        <f t="shared" si="6"/>
        <v>0</v>
      </c>
      <c r="DK15">
        <f t="shared" si="6"/>
        <v>0</v>
      </c>
      <c r="DL15">
        <f t="shared" si="6"/>
        <v>0</v>
      </c>
      <c r="DM15">
        <f t="shared" si="6"/>
        <v>0</v>
      </c>
      <c r="DN15">
        <f t="shared" si="6"/>
        <v>3</v>
      </c>
      <c r="DO15">
        <f t="shared" si="6"/>
        <v>0</v>
      </c>
      <c r="DP15">
        <f t="shared" si="6"/>
        <v>0</v>
      </c>
      <c r="DQ15">
        <f t="shared" si="6"/>
        <v>1700</v>
      </c>
      <c r="DR15">
        <f t="shared" si="6"/>
        <v>1366</v>
      </c>
      <c r="DS15">
        <f t="shared" si="6"/>
        <v>0</v>
      </c>
      <c r="DT15">
        <f t="shared" si="6"/>
        <v>7</v>
      </c>
      <c r="DU15">
        <f t="shared" si="6"/>
        <v>0</v>
      </c>
      <c r="DV15">
        <f t="shared" si="6"/>
        <v>87</v>
      </c>
      <c r="DW15">
        <f t="shared" si="6"/>
        <v>212</v>
      </c>
      <c r="DX15">
        <f t="shared" si="6"/>
        <v>7270</v>
      </c>
      <c r="DY15">
        <f t="shared" ref="DY15" si="7">SUM(E15:BN15)</f>
        <v>121107</v>
      </c>
      <c r="DZ15">
        <f t="shared" ref="DZ15" si="8">SUM(BO15:DX15)</f>
        <v>139316</v>
      </c>
    </row>
    <row r="16" spans="1:130" ht="15" x14ac:dyDescent="0.4">
      <c r="A16" s="11" t="s">
        <v>637</v>
      </c>
      <c r="B16" s="10">
        <f t="shared" ref="B16" si="9">G16/DY16</f>
        <v>0.89700996677740863</v>
      </c>
      <c r="C16" s="10">
        <f t="shared" ref="C16" si="10">BQ16/DZ16</f>
        <v>0.87530562347188268</v>
      </c>
      <c r="D16" s="10">
        <f t="shared" ref="D16" si="11">(G16+BQ16)/(DY16+DZ16)</f>
        <v>0.88450704225352117</v>
      </c>
      <c r="E16" s="37">
        <v>0</v>
      </c>
      <c r="F16" s="37">
        <v>0</v>
      </c>
      <c r="G16" s="37">
        <v>270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4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3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6</v>
      </c>
      <c r="AO16" s="37">
        <v>0</v>
      </c>
      <c r="AP16" s="37">
        <v>0</v>
      </c>
      <c r="AQ16" s="37">
        <v>3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15</v>
      </c>
      <c r="BO16" s="37">
        <v>0</v>
      </c>
      <c r="BP16" s="37">
        <v>0</v>
      </c>
      <c r="BQ16" s="37">
        <v>358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0</v>
      </c>
      <c r="BY16" s="37">
        <v>3</v>
      </c>
      <c r="BZ16" s="37">
        <v>0</v>
      </c>
      <c r="CA16" s="37">
        <v>0</v>
      </c>
      <c r="CB16" s="37">
        <v>0</v>
      </c>
      <c r="CC16" s="37">
        <v>0</v>
      </c>
      <c r="CD16" s="37">
        <v>0</v>
      </c>
      <c r="CE16" s="37">
        <v>0</v>
      </c>
      <c r="CF16" s="37">
        <v>0</v>
      </c>
      <c r="CG16" s="37">
        <v>0</v>
      </c>
      <c r="CH16" s="37">
        <v>4</v>
      </c>
      <c r="CI16" s="37">
        <v>8</v>
      </c>
      <c r="CJ16" s="37">
        <v>0</v>
      </c>
      <c r="CK16" s="37">
        <v>3</v>
      </c>
      <c r="CL16" s="37">
        <v>0</v>
      </c>
      <c r="CM16" s="37">
        <v>0</v>
      </c>
      <c r="CN16" s="37">
        <v>0</v>
      </c>
      <c r="CO16" s="37">
        <v>0</v>
      </c>
      <c r="CP16" s="37">
        <v>0</v>
      </c>
      <c r="CQ16" s="37">
        <v>6</v>
      </c>
      <c r="CR16" s="37">
        <v>0</v>
      </c>
      <c r="CS16" s="37">
        <v>0</v>
      </c>
      <c r="CT16" s="37">
        <v>0</v>
      </c>
      <c r="CU16" s="37">
        <v>0</v>
      </c>
      <c r="CV16" s="37">
        <v>0</v>
      </c>
      <c r="CW16" s="37">
        <v>0</v>
      </c>
      <c r="CX16" s="37">
        <v>6</v>
      </c>
      <c r="CY16" s="37">
        <v>0</v>
      </c>
      <c r="CZ16" s="37">
        <v>0</v>
      </c>
      <c r="DA16" s="37">
        <v>0</v>
      </c>
      <c r="DB16" s="37">
        <v>0</v>
      </c>
      <c r="DC16" s="37">
        <v>0</v>
      </c>
      <c r="DD16" s="37">
        <v>0</v>
      </c>
      <c r="DE16" s="37">
        <v>0</v>
      </c>
      <c r="DF16" s="37">
        <v>0</v>
      </c>
      <c r="DG16" s="37">
        <v>0</v>
      </c>
      <c r="DH16" s="37">
        <v>0</v>
      </c>
      <c r="DI16" s="37">
        <v>0</v>
      </c>
      <c r="DJ16" s="37">
        <v>0</v>
      </c>
      <c r="DK16" s="37">
        <v>0</v>
      </c>
      <c r="DL16" s="37">
        <v>0</v>
      </c>
      <c r="DM16" s="37">
        <v>0</v>
      </c>
      <c r="DN16" s="37">
        <v>0</v>
      </c>
      <c r="DO16" s="37">
        <v>0</v>
      </c>
      <c r="DP16" s="37">
        <v>0</v>
      </c>
      <c r="DQ16" s="37">
        <v>0</v>
      </c>
      <c r="DR16" s="37">
        <v>0</v>
      </c>
      <c r="DS16" s="37">
        <v>0</v>
      </c>
      <c r="DT16" s="37">
        <v>0</v>
      </c>
      <c r="DU16" s="37">
        <v>0</v>
      </c>
      <c r="DV16" s="37">
        <v>0</v>
      </c>
      <c r="DW16" s="37">
        <v>3</v>
      </c>
      <c r="DX16" s="37">
        <v>18</v>
      </c>
      <c r="DY16">
        <f t="shared" ref="DY16" si="12">SUM(E16:BN16)</f>
        <v>301</v>
      </c>
      <c r="DZ16">
        <f t="shared" ref="DZ16" si="13">SUM(BO16:DX16)</f>
        <v>409</v>
      </c>
    </row>
    <row r="18" spans="1:17" x14ac:dyDescent="0.35">
      <c r="A18" s="4" t="s">
        <v>412</v>
      </c>
    </row>
    <row r="19" spans="1:17" x14ac:dyDescent="0.35">
      <c r="B19" s="2" t="s">
        <v>6</v>
      </c>
      <c r="J19" t="s">
        <v>4</v>
      </c>
    </row>
    <row r="20" spans="1:17" x14ac:dyDescent="0.35">
      <c r="B20" t="s">
        <v>405</v>
      </c>
      <c r="C20" t="s">
        <v>406</v>
      </c>
      <c r="D20" t="s">
        <v>407</v>
      </c>
      <c r="E20" t="s">
        <v>408</v>
      </c>
      <c r="F20" t="s">
        <v>409</v>
      </c>
      <c r="G20" t="s">
        <v>410</v>
      </c>
      <c r="H20" t="s">
        <v>411</v>
      </c>
      <c r="I20" t="s">
        <v>405</v>
      </c>
      <c r="J20" t="s">
        <v>406</v>
      </c>
      <c r="K20" t="s">
        <v>407</v>
      </c>
      <c r="L20" t="s">
        <v>408</v>
      </c>
      <c r="M20" t="s">
        <v>409</v>
      </c>
      <c r="N20" t="s">
        <v>410</v>
      </c>
      <c r="O20" t="s">
        <v>411</v>
      </c>
    </row>
    <row r="21" spans="1:17" x14ac:dyDescent="0.35">
      <c r="A21" t="s">
        <v>7</v>
      </c>
      <c r="B21" s="3">
        <v>6726</v>
      </c>
      <c r="C21">
        <v>526</v>
      </c>
      <c r="D21">
        <v>47</v>
      </c>
      <c r="E21">
        <v>17</v>
      </c>
      <c r="F21">
        <v>3</v>
      </c>
      <c r="G21">
        <v>357</v>
      </c>
      <c r="H21">
        <v>4</v>
      </c>
      <c r="I21" s="3">
        <v>7128</v>
      </c>
      <c r="J21">
        <v>607</v>
      </c>
      <c r="K21">
        <v>116</v>
      </c>
      <c r="L21">
        <v>29</v>
      </c>
      <c r="M21">
        <v>3</v>
      </c>
      <c r="N21">
        <v>425</v>
      </c>
      <c r="O21">
        <v>9</v>
      </c>
      <c r="P21" s="3">
        <f>SUM(B21:O21)</f>
        <v>15997</v>
      </c>
      <c r="Q21" s="29">
        <f>(E21+F21+L21+M21)/P21</f>
        <v>3.2506094892792397E-3</v>
      </c>
    </row>
    <row r="22" spans="1:17" x14ac:dyDescent="0.35">
      <c r="A22" t="s">
        <v>8</v>
      </c>
      <c r="B22" s="3">
        <v>16338</v>
      </c>
      <c r="C22" s="3">
        <v>6431</v>
      </c>
      <c r="D22">
        <v>767</v>
      </c>
      <c r="E22">
        <v>183</v>
      </c>
      <c r="F22">
        <v>32</v>
      </c>
      <c r="G22">
        <v>954</v>
      </c>
      <c r="H22">
        <v>60</v>
      </c>
      <c r="I22" s="3">
        <v>18232</v>
      </c>
      <c r="J22" s="3">
        <v>7400</v>
      </c>
      <c r="K22" s="3">
        <v>1609</v>
      </c>
      <c r="L22">
        <v>389</v>
      </c>
      <c r="M22">
        <v>62</v>
      </c>
      <c r="N22" s="3">
        <v>1297</v>
      </c>
      <c r="O22">
        <v>75</v>
      </c>
      <c r="P22" s="3">
        <f t="shared" ref="P22:P31" si="14">SUM(B22:O22)</f>
        <v>53829</v>
      </c>
      <c r="Q22" s="29">
        <f t="shared" ref="Q22:Q31" si="15">(E22+F22+L22+M22)/P22</f>
        <v>1.2372512957699382E-2</v>
      </c>
    </row>
    <row r="23" spans="1:17" x14ac:dyDescent="0.35">
      <c r="A23" t="s">
        <v>9</v>
      </c>
      <c r="B23" s="3">
        <v>8633</v>
      </c>
      <c r="C23" s="3">
        <v>6065</v>
      </c>
      <c r="D23">
        <v>645</v>
      </c>
      <c r="E23">
        <v>173</v>
      </c>
      <c r="F23">
        <v>37</v>
      </c>
      <c r="G23">
        <v>732</v>
      </c>
      <c r="H23">
        <v>47</v>
      </c>
      <c r="I23" s="3">
        <v>10602</v>
      </c>
      <c r="J23" s="3">
        <v>6884</v>
      </c>
      <c r="K23" s="3">
        <v>1292</v>
      </c>
      <c r="L23">
        <v>353</v>
      </c>
      <c r="M23">
        <v>105</v>
      </c>
      <c r="N23">
        <v>986</v>
      </c>
      <c r="O23">
        <v>64</v>
      </c>
      <c r="P23" s="3">
        <f t="shared" si="14"/>
        <v>36618</v>
      </c>
      <c r="Q23" s="29">
        <f t="shared" si="15"/>
        <v>1.8242394450816539E-2</v>
      </c>
    </row>
    <row r="24" spans="1:17" x14ac:dyDescent="0.35">
      <c r="A24" t="s">
        <v>10</v>
      </c>
      <c r="B24" s="3">
        <v>7733</v>
      </c>
      <c r="C24" s="3">
        <v>2654</v>
      </c>
      <c r="D24">
        <v>265</v>
      </c>
      <c r="E24">
        <v>62</v>
      </c>
      <c r="F24">
        <v>16</v>
      </c>
      <c r="G24">
        <v>497</v>
      </c>
      <c r="H24">
        <v>16</v>
      </c>
      <c r="I24" s="3">
        <v>7925</v>
      </c>
      <c r="J24" s="3">
        <v>2792</v>
      </c>
      <c r="K24">
        <v>399</v>
      </c>
      <c r="L24">
        <v>100</v>
      </c>
      <c r="M24">
        <v>15</v>
      </c>
      <c r="N24">
        <v>832</v>
      </c>
      <c r="O24">
        <v>23</v>
      </c>
      <c r="P24" s="3">
        <f t="shared" si="14"/>
        <v>23329</v>
      </c>
      <c r="Q24" s="29">
        <f t="shared" si="15"/>
        <v>8.2729649792104253E-3</v>
      </c>
    </row>
    <row r="25" spans="1:17" x14ac:dyDescent="0.35">
      <c r="A25" t="s">
        <v>11</v>
      </c>
      <c r="B25" s="3">
        <v>2953</v>
      </c>
      <c r="C25">
        <v>124</v>
      </c>
      <c r="D25">
        <v>75</v>
      </c>
      <c r="E25">
        <v>43</v>
      </c>
      <c r="F25">
        <v>3</v>
      </c>
      <c r="G25">
        <v>235</v>
      </c>
      <c r="H25">
        <v>0</v>
      </c>
      <c r="I25" s="3">
        <v>3057</v>
      </c>
      <c r="J25">
        <v>149</v>
      </c>
      <c r="K25">
        <v>69</v>
      </c>
      <c r="L25">
        <v>42</v>
      </c>
      <c r="M25">
        <v>11</v>
      </c>
      <c r="N25">
        <v>237</v>
      </c>
      <c r="O25">
        <v>0</v>
      </c>
      <c r="P25" s="3">
        <f t="shared" si="14"/>
        <v>6998</v>
      </c>
      <c r="Q25" s="29">
        <f t="shared" si="15"/>
        <v>1.4146899114032581E-2</v>
      </c>
    </row>
    <row r="26" spans="1:17" x14ac:dyDescent="0.35">
      <c r="A26" t="s">
        <v>12</v>
      </c>
      <c r="B26" s="3">
        <v>10023</v>
      </c>
      <c r="C26">
        <v>305</v>
      </c>
      <c r="D26">
        <v>87</v>
      </c>
      <c r="E26">
        <v>55</v>
      </c>
      <c r="F26">
        <v>6</v>
      </c>
      <c r="G26">
        <v>476</v>
      </c>
      <c r="H26">
        <v>3</v>
      </c>
      <c r="I26" s="3">
        <v>9932</v>
      </c>
      <c r="J26">
        <v>284</v>
      </c>
      <c r="K26">
        <v>74</v>
      </c>
      <c r="L26">
        <v>18</v>
      </c>
      <c r="M26">
        <v>8</v>
      </c>
      <c r="N26">
        <v>523</v>
      </c>
      <c r="O26">
        <v>3</v>
      </c>
      <c r="P26" s="3">
        <f t="shared" si="14"/>
        <v>21797</v>
      </c>
      <c r="Q26" s="29">
        <f t="shared" si="15"/>
        <v>3.9913749598568613E-3</v>
      </c>
    </row>
    <row r="27" spans="1:17" x14ac:dyDescent="0.35">
      <c r="A27" t="s">
        <v>13</v>
      </c>
      <c r="B27" s="3">
        <v>5041</v>
      </c>
      <c r="C27">
        <v>294</v>
      </c>
      <c r="D27">
        <v>21</v>
      </c>
      <c r="E27">
        <v>10</v>
      </c>
      <c r="F27">
        <v>0</v>
      </c>
      <c r="G27">
        <v>176</v>
      </c>
      <c r="H27">
        <v>3</v>
      </c>
      <c r="I27" s="3">
        <v>5309</v>
      </c>
      <c r="J27">
        <v>236</v>
      </c>
      <c r="K27">
        <v>29</v>
      </c>
      <c r="L27">
        <v>13</v>
      </c>
      <c r="M27">
        <v>3</v>
      </c>
      <c r="N27">
        <v>189</v>
      </c>
      <c r="O27">
        <v>4</v>
      </c>
      <c r="P27" s="3">
        <f t="shared" si="14"/>
        <v>11328</v>
      </c>
      <c r="Q27" s="29">
        <f t="shared" si="15"/>
        <v>2.2951977401129945E-3</v>
      </c>
    </row>
    <row r="28" spans="1:17" x14ac:dyDescent="0.35">
      <c r="A28" t="s">
        <v>14</v>
      </c>
      <c r="B28" s="3">
        <v>8587</v>
      </c>
      <c r="C28" s="3">
        <v>4158</v>
      </c>
      <c r="D28">
        <v>417</v>
      </c>
      <c r="E28">
        <v>101</v>
      </c>
      <c r="F28">
        <v>10</v>
      </c>
      <c r="G28">
        <v>495</v>
      </c>
      <c r="H28">
        <v>45</v>
      </c>
      <c r="I28" s="3">
        <v>10328</v>
      </c>
      <c r="J28" s="3">
        <v>5400</v>
      </c>
      <c r="K28" s="3">
        <v>1391</v>
      </c>
      <c r="L28">
        <v>353</v>
      </c>
      <c r="M28">
        <v>41</v>
      </c>
      <c r="N28">
        <v>804</v>
      </c>
      <c r="O28">
        <v>56</v>
      </c>
      <c r="P28" s="3">
        <f t="shared" si="14"/>
        <v>32186</v>
      </c>
      <c r="Q28" s="29">
        <f t="shared" si="15"/>
        <v>1.5690051575219039E-2</v>
      </c>
    </row>
    <row r="29" spans="1:17" x14ac:dyDescent="0.35">
      <c r="A29" t="s">
        <v>15</v>
      </c>
      <c r="B29" s="3">
        <v>9998</v>
      </c>
      <c r="C29" s="3">
        <v>4281</v>
      </c>
      <c r="D29">
        <v>591</v>
      </c>
      <c r="E29">
        <v>183</v>
      </c>
      <c r="F29">
        <v>24</v>
      </c>
      <c r="G29">
        <v>647</v>
      </c>
      <c r="H29">
        <v>46</v>
      </c>
      <c r="I29" s="3">
        <v>11036</v>
      </c>
      <c r="J29" s="3">
        <v>4278</v>
      </c>
      <c r="K29" s="3">
        <v>1528</v>
      </c>
      <c r="L29">
        <v>304</v>
      </c>
      <c r="M29">
        <v>38</v>
      </c>
      <c r="N29" s="3">
        <v>1104</v>
      </c>
      <c r="O29">
        <v>54</v>
      </c>
      <c r="P29" s="3">
        <f t="shared" si="14"/>
        <v>34112</v>
      </c>
      <c r="Q29" s="29">
        <f t="shared" si="15"/>
        <v>1.6094043151969981E-2</v>
      </c>
    </row>
    <row r="30" spans="1:17" x14ac:dyDescent="0.35">
      <c r="A30" t="s">
        <v>16</v>
      </c>
      <c r="B30" s="3">
        <v>10528</v>
      </c>
      <c r="C30">
        <v>467</v>
      </c>
      <c r="D30">
        <v>119</v>
      </c>
      <c r="E30">
        <v>51</v>
      </c>
      <c r="F30">
        <v>13</v>
      </c>
      <c r="G30">
        <v>431</v>
      </c>
      <c r="H30">
        <v>7</v>
      </c>
      <c r="I30" s="3">
        <v>11533</v>
      </c>
      <c r="J30">
        <v>489</v>
      </c>
      <c r="K30">
        <v>147</v>
      </c>
      <c r="L30">
        <v>54</v>
      </c>
      <c r="M30">
        <v>17</v>
      </c>
      <c r="N30">
        <v>536</v>
      </c>
      <c r="O30">
        <v>7</v>
      </c>
      <c r="P30" s="3">
        <f t="shared" si="14"/>
        <v>24399</v>
      </c>
      <c r="Q30" s="29">
        <f t="shared" si="15"/>
        <v>5.5330136481003319E-3</v>
      </c>
    </row>
    <row r="31" spans="1:17" ht="15" x14ac:dyDescent="0.4">
      <c r="A31" s="11" t="s">
        <v>567</v>
      </c>
      <c r="B31" s="3">
        <f>SUM(B21:B30)</f>
        <v>86560</v>
      </c>
      <c r="C31" s="3">
        <f t="shared" ref="C31:O31" si="16">SUM(C21:C30)</f>
        <v>25305</v>
      </c>
      <c r="D31" s="3">
        <f t="shared" si="16"/>
        <v>3034</v>
      </c>
      <c r="E31" s="3">
        <f t="shared" si="16"/>
        <v>878</v>
      </c>
      <c r="F31" s="3">
        <f t="shared" si="16"/>
        <v>144</v>
      </c>
      <c r="G31" s="3">
        <f t="shared" si="16"/>
        <v>5000</v>
      </c>
      <c r="H31" s="3">
        <f t="shared" si="16"/>
        <v>231</v>
      </c>
      <c r="I31" s="3">
        <f t="shared" si="16"/>
        <v>95082</v>
      </c>
      <c r="J31" s="3">
        <f t="shared" si="16"/>
        <v>28519</v>
      </c>
      <c r="K31" s="3">
        <f t="shared" si="16"/>
        <v>6654</v>
      </c>
      <c r="L31" s="3">
        <f t="shared" si="16"/>
        <v>1655</v>
      </c>
      <c r="M31" s="3">
        <f t="shared" si="16"/>
        <v>303</v>
      </c>
      <c r="N31" s="3">
        <f t="shared" si="16"/>
        <v>6933</v>
      </c>
      <c r="O31" s="3">
        <f t="shared" si="16"/>
        <v>295</v>
      </c>
      <c r="P31" s="3">
        <f t="shared" si="14"/>
        <v>260593</v>
      </c>
      <c r="Q31" s="29">
        <f t="shared" si="15"/>
        <v>1.1435456823475689E-2</v>
      </c>
    </row>
    <row r="32" spans="1:17" x14ac:dyDescent="0.35">
      <c r="A32" t="s">
        <v>637</v>
      </c>
      <c r="B32" s="37">
        <v>270</v>
      </c>
      <c r="C32" s="37">
        <v>13</v>
      </c>
      <c r="D32" s="37">
        <v>0</v>
      </c>
      <c r="E32" s="37">
        <v>0</v>
      </c>
      <c r="F32" s="37">
        <v>0</v>
      </c>
      <c r="G32" s="37">
        <v>12</v>
      </c>
      <c r="H32" s="37">
        <v>0</v>
      </c>
      <c r="I32" s="37">
        <v>358</v>
      </c>
      <c r="J32" s="37">
        <v>30</v>
      </c>
      <c r="K32" s="37">
        <v>7</v>
      </c>
      <c r="L32" s="37">
        <v>3</v>
      </c>
      <c r="M32" s="37">
        <v>0</v>
      </c>
      <c r="N32" s="37">
        <v>11</v>
      </c>
      <c r="O32" s="37">
        <v>0</v>
      </c>
      <c r="P32" s="3">
        <f t="shared" ref="P32" si="17">SUM(B32:O32)</f>
        <v>704</v>
      </c>
      <c r="Q32" s="29">
        <f t="shared" ref="Q32" si="18">(E32+F32+L32+M32)/P32</f>
        <v>4.261363636363636E-3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E1" sqref="E1"/>
    </sheetView>
  </sheetViews>
  <sheetFormatPr defaultRowHeight="14.5" x14ac:dyDescent="0.35"/>
  <sheetData>
    <row r="1" spans="1:11" x14ac:dyDescent="0.35">
      <c r="A1" s="4" t="s">
        <v>460</v>
      </c>
      <c r="E1" s="9" t="s">
        <v>645</v>
      </c>
    </row>
    <row r="2" spans="1:11" x14ac:dyDescent="0.35">
      <c r="A2" t="s">
        <v>461</v>
      </c>
    </row>
    <row r="3" spans="1:11" x14ac:dyDescent="0.35">
      <c r="A3" t="s">
        <v>459</v>
      </c>
      <c r="B3" t="s">
        <v>462</v>
      </c>
      <c r="C3" t="s">
        <v>463</v>
      </c>
      <c r="D3" t="s">
        <v>464</v>
      </c>
      <c r="E3" t="s">
        <v>465</v>
      </c>
      <c r="F3" t="s">
        <v>466</v>
      </c>
      <c r="G3" t="s">
        <v>467</v>
      </c>
      <c r="H3" t="s">
        <v>468</v>
      </c>
      <c r="I3" t="s">
        <v>469</v>
      </c>
      <c r="J3" t="s">
        <v>470</v>
      </c>
      <c r="K3" t="s">
        <v>471</v>
      </c>
    </row>
    <row r="4" spans="1:11" x14ac:dyDescent="0.35">
      <c r="A4" s="33" t="s">
        <v>7</v>
      </c>
      <c r="B4" s="33" t="s">
        <v>472</v>
      </c>
      <c r="C4" s="33">
        <v>11.9</v>
      </c>
      <c r="D4" s="33" t="s">
        <v>472</v>
      </c>
      <c r="E4" s="33">
        <v>5.9</v>
      </c>
      <c r="F4" s="33">
        <v>11.1</v>
      </c>
      <c r="G4" s="33" t="s">
        <v>472</v>
      </c>
      <c r="H4" s="33">
        <v>15.9</v>
      </c>
      <c r="I4" s="33" t="s">
        <v>472</v>
      </c>
      <c r="J4" s="33">
        <v>24.4</v>
      </c>
      <c r="K4" s="33">
        <v>42.4</v>
      </c>
    </row>
    <row r="5" spans="1:11" x14ac:dyDescent="0.35">
      <c r="A5" t="s">
        <v>8</v>
      </c>
      <c r="B5">
        <v>12.4</v>
      </c>
      <c r="C5">
        <v>11</v>
      </c>
      <c r="D5">
        <v>10.8</v>
      </c>
      <c r="E5">
        <v>11.1</v>
      </c>
      <c r="F5">
        <v>10.8</v>
      </c>
      <c r="G5">
        <v>10.8</v>
      </c>
      <c r="H5">
        <v>17.2</v>
      </c>
      <c r="I5">
        <v>17.100000000000001</v>
      </c>
      <c r="J5">
        <v>18.100000000000001</v>
      </c>
      <c r="K5">
        <v>37</v>
      </c>
    </row>
    <row r="6" spans="1:11" x14ac:dyDescent="0.35">
      <c r="A6" t="s">
        <v>9</v>
      </c>
      <c r="B6">
        <v>21.9</v>
      </c>
      <c r="C6">
        <v>20.3</v>
      </c>
      <c r="D6">
        <v>19.100000000000001</v>
      </c>
      <c r="E6">
        <v>14</v>
      </c>
      <c r="F6">
        <v>14.2</v>
      </c>
      <c r="G6">
        <v>15.8</v>
      </c>
      <c r="H6">
        <v>28.8</v>
      </c>
      <c r="I6">
        <v>21.7</v>
      </c>
      <c r="J6">
        <v>21</v>
      </c>
      <c r="K6">
        <v>26.6</v>
      </c>
    </row>
    <row r="7" spans="1:11" x14ac:dyDescent="0.35">
      <c r="A7" t="s">
        <v>10</v>
      </c>
      <c r="B7" t="s">
        <v>472</v>
      </c>
      <c r="C7">
        <v>12.8</v>
      </c>
      <c r="D7">
        <v>13.7</v>
      </c>
      <c r="E7">
        <v>18</v>
      </c>
      <c r="F7" t="s">
        <v>472</v>
      </c>
      <c r="G7">
        <v>20</v>
      </c>
      <c r="H7">
        <v>30.3</v>
      </c>
      <c r="I7">
        <v>23.8</v>
      </c>
      <c r="J7">
        <v>47.8</v>
      </c>
      <c r="K7" t="s">
        <v>472</v>
      </c>
    </row>
    <row r="8" spans="1:11" x14ac:dyDescent="0.35">
      <c r="A8" t="s">
        <v>11</v>
      </c>
      <c r="B8">
        <v>12.2</v>
      </c>
      <c r="C8" t="s">
        <v>472</v>
      </c>
      <c r="D8">
        <v>20.399999999999999</v>
      </c>
      <c r="E8">
        <v>17.600000000000001</v>
      </c>
      <c r="F8" t="s">
        <v>472</v>
      </c>
      <c r="G8" t="s">
        <v>472</v>
      </c>
      <c r="H8">
        <v>32</v>
      </c>
      <c r="I8">
        <v>18</v>
      </c>
      <c r="J8" t="s">
        <v>472</v>
      </c>
      <c r="K8">
        <v>25.3</v>
      </c>
    </row>
    <row r="9" spans="1:11" x14ac:dyDescent="0.35">
      <c r="A9" t="s">
        <v>12</v>
      </c>
      <c r="B9">
        <v>19.399999999999999</v>
      </c>
      <c r="C9">
        <v>14</v>
      </c>
      <c r="D9">
        <v>8.3000000000000007</v>
      </c>
      <c r="E9" t="s">
        <v>472</v>
      </c>
      <c r="F9">
        <v>12.3</v>
      </c>
      <c r="G9">
        <v>16.7</v>
      </c>
      <c r="H9">
        <v>30.1</v>
      </c>
      <c r="I9">
        <v>27.1</v>
      </c>
      <c r="J9">
        <v>52</v>
      </c>
      <c r="K9">
        <v>39.5</v>
      </c>
    </row>
    <row r="10" spans="1:11" x14ac:dyDescent="0.35">
      <c r="A10" t="s">
        <v>13</v>
      </c>
      <c r="B10">
        <v>11.5</v>
      </c>
      <c r="C10">
        <v>10.3</v>
      </c>
      <c r="D10">
        <v>17.399999999999999</v>
      </c>
      <c r="E10" t="s">
        <v>472</v>
      </c>
      <c r="F10">
        <v>7</v>
      </c>
      <c r="G10">
        <v>15.9</v>
      </c>
      <c r="H10">
        <v>33.299999999999997</v>
      </c>
      <c r="I10">
        <v>14.4</v>
      </c>
      <c r="J10">
        <v>36.700000000000003</v>
      </c>
      <c r="K10">
        <v>31.8</v>
      </c>
    </row>
    <row r="11" spans="1:11" x14ac:dyDescent="0.35">
      <c r="A11" t="s">
        <v>14</v>
      </c>
      <c r="B11">
        <v>13.9</v>
      </c>
      <c r="C11">
        <v>12.6</v>
      </c>
      <c r="D11">
        <v>12</v>
      </c>
      <c r="E11">
        <v>10.1</v>
      </c>
      <c r="F11">
        <v>6.9</v>
      </c>
      <c r="G11">
        <v>18.8</v>
      </c>
      <c r="H11">
        <v>22.3</v>
      </c>
      <c r="I11">
        <v>15.4</v>
      </c>
      <c r="J11">
        <v>21.8</v>
      </c>
      <c r="K11">
        <v>26.8</v>
      </c>
    </row>
    <row r="12" spans="1:11" x14ac:dyDescent="0.35">
      <c r="A12" t="s">
        <v>15</v>
      </c>
      <c r="B12">
        <v>27.1</v>
      </c>
      <c r="C12">
        <v>19.600000000000001</v>
      </c>
      <c r="D12">
        <v>11.7</v>
      </c>
      <c r="E12">
        <v>22</v>
      </c>
      <c r="F12">
        <v>13.8</v>
      </c>
      <c r="G12">
        <v>17.2</v>
      </c>
      <c r="H12">
        <v>21.7</v>
      </c>
      <c r="I12">
        <v>24.7</v>
      </c>
      <c r="J12">
        <v>22.9</v>
      </c>
      <c r="K12">
        <v>28.8</v>
      </c>
    </row>
    <row r="13" spans="1:11" x14ac:dyDescent="0.35">
      <c r="A13" t="s">
        <v>16</v>
      </c>
      <c r="B13">
        <v>16.3</v>
      </c>
      <c r="C13">
        <v>13.8</v>
      </c>
      <c r="D13">
        <v>9.1999999999999993</v>
      </c>
      <c r="E13">
        <v>10.9</v>
      </c>
      <c r="F13">
        <v>7.5</v>
      </c>
      <c r="G13">
        <v>15.6</v>
      </c>
      <c r="H13">
        <v>23</v>
      </c>
      <c r="I13">
        <v>26</v>
      </c>
      <c r="J13">
        <v>44.8</v>
      </c>
      <c r="K13">
        <v>98.7</v>
      </c>
    </row>
    <row r="14" spans="1:11" ht="15" x14ac:dyDescent="0.4">
      <c r="A14" s="11" t="s">
        <v>567</v>
      </c>
      <c r="B14" t="s">
        <v>619</v>
      </c>
      <c r="C14" t="s">
        <v>619</v>
      </c>
      <c r="D14" t="s">
        <v>619</v>
      </c>
      <c r="E14" t="s">
        <v>619</v>
      </c>
      <c r="F14" t="s">
        <v>619</v>
      </c>
      <c r="G14" t="s">
        <v>619</v>
      </c>
      <c r="H14" t="s">
        <v>619</v>
      </c>
      <c r="I14" t="s">
        <v>619</v>
      </c>
      <c r="J14" t="s">
        <v>619</v>
      </c>
      <c r="K14" t="s">
        <v>619</v>
      </c>
    </row>
    <row r="16" spans="1:11" x14ac:dyDescent="0.35">
      <c r="A16" s="4" t="s">
        <v>458</v>
      </c>
    </row>
    <row r="18" spans="1:11" x14ac:dyDescent="0.35">
      <c r="A18" t="s">
        <v>459</v>
      </c>
      <c r="B18" t="s">
        <v>473</v>
      </c>
      <c r="C18" t="s">
        <v>474</v>
      </c>
      <c r="D18" t="s">
        <v>475</v>
      </c>
      <c r="E18" t="s">
        <v>476</v>
      </c>
      <c r="F18" t="s">
        <v>477</v>
      </c>
      <c r="G18" t="s">
        <v>478</v>
      </c>
      <c r="H18" t="s">
        <v>479</v>
      </c>
      <c r="I18" t="s">
        <v>480</v>
      </c>
      <c r="J18" t="s">
        <v>481</v>
      </c>
      <c r="K18" t="s">
        <v>482</v>
      </c>
    </row>
    <row r="19" spans="1:11" x14ac:dyDescent="0.35">
      <c r="A19" t="s">
        <v>7</v>
      </c>
      <c r="B19">
        <v>14.9</v>
      </c>
      <c r="C19" t="s">
        <v>472</v>
      </c>
      <c r="D19">
        <v>16.600000000000001</v>
      </c>
      <c r="E19">
        <v>9.8000000000000007</v>
      </c>
      <c r="F19" t="s">
        <v>472</v>
      </c>
      <c r="G19">
        <v>11.5</v>
      </c>
      <c r="H19" t="s">
        <v>472</v>
      </c>
      <c r="I19">
        <v>15.3</v>
      </c>
      <c r="J19" t="s">
        <v>472</v>
      </c>
      <c r="K19">
        <v>34.700000000000003</v>
      </c>
    </row>
    <row r="20" spans="1:11" x14ac:dyDescent="0.35">
      <c r="A20" t="s">
        <v>8</v>
      </c>
      <c r="B20">
        <v>16.7</v>
      </c>
      <c r="C20">
        <v>11.3</v>
      </c>
      <c r="D20">
        <v>14.7</v>
      </c>
      <c r="E20" t="s">
        <v>472</v>
      </c>
      <c r="F20" t="s">
        <v>472</v>
      </c>
      <c r="G20" t="s">
        <v>472</v>
      </c>
      <c r="H20" t="s">
        <v>472</v>
      </c>
      <c r="I20" t="s">
        <v>472</v>
      </c>
      <c r="J20">
        <v>24.1</v>
      </c>
      <c r="K20">
        <v>25.9</v>
      </c>
    </row>
    <row r="21" spans="1:11" x14ac:dyDescent="0.35">
      <c r="A21" t="s">
        <v>9</v>
      </c>
      <c r="B21">
        <v>12.7</v>
      </c>
      <c r="C21" t="s">
        <v>472</v>
      </c>
      <c r="D21">
        <v>15.4</v>
      </c>
      <c r="E21">
        <v>13.6</v>
      </c>
      <c r="F21" t="s">
        <v>472</v>
      </c>
      <c r="G21" t="s">
        <v>472</v>
      </c>
      <c r="H21" t="s">
        <v>472</v>
      </c>
      <c r="I21">
        <v>8.6999999999999993</v>
      </c>
      <c r="J21">
        <v>13.2</v>
      </c>
      <c r="K21">
        <v>9.8000000000000007</v>
      </c>
    </row>
    <row r="22" spans="1:11" x14ac:dyDescent="0.35">
      <c r="A22" t="s">
        <v>10</v>
      </c>
      <c r="B22">
        <v>13.7</v>
      </c>
      <c r="C22">
        <v>17.899999999999999</v>
      </c>
      <c r="D22">
        <v>19.3</v>
      </c>
      <c r="E22" t="s">
        <v>472</v>
      </c>
      <c r="F22">
        <v>9.6999999999999993</v>
      </c>
      <c r="G22">
        <v>9.3000000000000007</v>
      </c>
      <c r="H22">
        <v>11</v>
      </c>
      <c r="I22" t="s">
        <v>472</v>
      </c>
      <c r="J22">
        <v>13.3</v>
      </c>
      <c r="K22" t="s">
        <v>472</v>
      </c>
    </row>
    <row r="23" spans="1:11" x14ac:dyDescent="0.35">
      <c r="A23" t="s">
        <v>11</v>
      </c>
      <c r="B23">
        <v>21.9</v>
      </c>
      <c r="C23">
        <v>19</v>
      </c>
      <c r="D23">
        <v>31.8</v>
      </c>
      <c r="E23" t="s">
        <v>472</v>
      </c>
      <c r="F23">
        <v>20.6</v>
      </c>
      <c r="G23">
        <v>14.1</v>
      </c>
      <c r="H23">
        <v>32</v>
      </c>
      <c r="I23">
        <v>16</v>
      </c>
      <c r="J23">
        <v>17.8</v>
      </c>
      <c r="K23">
        <v>15.6</v>
      </c>
    </row>
    <row r="24" spans="1:11" x14ac:dyDescent="0.35">
      <c r="A24" t="s">
        <v>12</v>
      </c>
      <c r="B24" t="s">
        <v>472</v>
      </c>
      <c r="C24">
        <v>17.7</v>
      </c>
      <c r="D24" t="s">
        <v>472</v>
      </c>
      <c r="E24">
        <v>16.100000000000001</v>
      </c>
      <c r="F24">
        <v>25.7</v>
      </c>
      <c r="G24" t="s">
        <v>472</v>
      </c>
      <c r="H24" t="s">
        <v>472</v>
      </c>
      <c r="I24" t="s">
        <v>472</v>
      </c>
      <c r="J24" t="s">
        <v>472</v>
      </c>
      <c r="K24" t="s">
        <v>472</v>
      </c>
    </row>
    <row r="25" spans="1:11" x14ac:dyDescent="0.35">
      <c r="A25" t="s">
        <v>13</v>
      </c>
      <c r="B25">
        <v>17.8</v>
      </c>
      <c r="C25">
        <v>14.4</v>
      </c>
      <c r="D25" t="s">
        <v>472</v>
      </c>
      <c r="E25">
        <v>25.2</v>
      </c>
      <c r="F25">
        <v>12.9</v>
      </c>
      <c r="G25">
        <v>16.899999999999999</v>
      </c>
      <c r="H25">
        <v>31.3</v>
      </c>
      <c r="I25">
        <v>13.3</v>
      </c>
      <c r="J25">
        <v>18.899999999999999</v>
      </c>
      <c r="K25">
        <v>13.8</v>
      </c>
    </row>
    <row r="26" spans="1:11" x14ac:dyDescent="0.35">
      <c r="A26" t="s">
        <v>14</v>
      </c>
      <c r="B26">
        <v>10.199999999999999</v>
      </c>
      <c r="C26">
        <v>9.4</v>
      </c>
      <c r="D26" t="s">
        <v>472</v>
      </c>
      <c r="E26">
        <v>12</v>
      </c>
      <c r="F26" t="s">
        <v>472</v>
      </c>
      <c r="G26">
        <v>18.3</v>
      </c>
      <c r="H26" t="s">
        <v>472</v>
      </c>
      <c r="I26" t="s">
        <v>472</v>
      </c>
      <c r="J26">
        <v>10.5</v>
      </c>
      <c r="K26" t="s">
        <v>472</v>
      </c>
    </row>
    <row r="27" spans="1:11" x14ac:dyDescent="0.35">
      <c r="A27" t="s">
        <v>15</v>
      </c>
      <c r="B27">
        <v>18.7</v>
      </c>
      <c r="C27" t="s">
        <v>472</v>
      </c>
      <c r="D27">
        <v>12.8</v>
      </c>
      <c r="E27">
        <v>23.5</v>
      </c>
      <c r="F27" t="s">
        <v>472</v>
      </c>
      <c r="G27" t="s">
        <v>472</v>
      </c>
      <c r="H27" t="s">
        <v>472</v>
      </c>
      <c r="I27" t="s">
        <v>472</v>
      </c>
      <c r="J27" t="s">
        <v>472</v>
      </c>
      <c r="K27">
        <v>13.8</v>
      </c>
    </row>
    <row r="28" spans="1:11" x14ac:dyDescent="0.35">
      <c r="A28" t="s">
        <v>16</v>
      </c>
      <c r="B28">
        <v>10.9</v>
      </c>
      <c r="C28" t="s">
        <v>472</v>
      </c>
      <c r="D28" t="s">
        <v>472</v>
      </c>
      <c r="E28" t="s">
        <v>472</v>
      </c>
      <c r="F28">
        <v>12.2</v>
      </c>
      <c r="G28">
        <v>13.7</v>
      </c>
      <c r="H28">
        <v>38.299999999999997</v>
      </c>
      <c r="I28" t="s">
        <v>472</v>
      </c>
      <c r="J28" t="s">
        <v>472</v>
      </c>
      <c r="K28" t="s">
        <v>472</v>
      </c>
    </row>
    <row r="29" spans="1:11" ht="15" x14ac:dyDescent="0.4">
      <c r="A29" s="11" t="s">
        <v>567</v>
      </c>
      <c r="B29" t="s">
        <v>619</v>
      </c>
      <c r="C29" t="s">
        <v>619</v>
      </c>
      <c r="D29" t="s">
        <v>619</v>
      </c>
      <c r="E29" t="s">
        <v>619</v>
      </c>
      <c r="F29" t="s">
        <v>619</v>
      </c>
      <c r="G29" t="s">
        <v>619</v>
      </c>
      <c r="H29" t="s">
        <v>619</v>
      </c>
      <c r="I29" t="s">
        <v>619</v>
      </c>
      <c r="J29" t="s">
        <v>619</v>
      </c>
      <c r="K29" t="s">
        <v>619</v>
      </c>
    </row>
  </sheetData>
  <hyperlinks>
    <hyperlink ref="E1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activeCell="J2" sqref="J2"/>
    </sheetView>
  </sheetViews>
  <sheetFormatPr defaultRowHeight="14.5" x14ac:dyDescent="0.35"/>
  <sheetData>
    <row r="1" spans="1:22" x14ac:dyDescent="0.35">
      <c r="A1" t="s">
        <v>547</v>
      </c>
    </row>
    <row r="2" spans="1:22" ht="217.5" x14ac:dyDescent="0.35">
      <c r="B2" s="34" t="s">
        <v>514</v>
      </c>
      <c r="C2" s="34" t="s">
        <v>515</v>
      </c>
      <c r="D2" s="34" t="s">
        <v>516</v>
      </c>
      <c r="E2" s="34" t="s">
        <v>517</v>
      </c>
      <c r="F2" s="34" t="s">
        <v>518</v>
      </c>
      <c r="G2" s="34" t="s">
        <v>519</v>
      </c>
      <c r="H2" s="34" t="s">
        <v>520</v>
      </c>
      <c r="I2" s="34" t="s">
        <v>521</v>
      </c>
      <c r="J2" s="34" t="s">
        <v>522</v>
      </c>
      <c r="K2" s="34" t="s">
        <v>523</v>
      </c>
      <c r="L2" s="34" t="s">
        <v>524</v>
      </c>
      <c r="M2" s="34" t="s">
        <v>525</v>
      </c>
      <c r="N2" s="34" t="s">
        <v>526</v>
      </c>
      <c r="O2" s="34" t="s">
        <v>527</v>
      </c>
      <c r="P2" s="34" t="s">
        <v>528</v>
      </c>
      <c r="Q2" s="34" t="s">
        <v>529</v>
      </c>
      <c r="R2" s="34" t="s">
        <v>530</v>
      </c>
      <c r="S2" s="34" t="s">
        <v>531</v>
      </c>
      <c r="T2" s="34" t="s">
        <v>532</v>
      </c>
      <c r="U2" s="34" t="s">
        <v>533</v>
      </c>
      <c r="V2" s="34" t="s">
        <v>534</v>
      </c>
    </row>
    <row r="3" spans="1:22" x14ac:dyDescent="0.35">
      <c r="A3" t="s">
        <v>7</v>
      </c>
      <c r="C3" s="10">
        <v>8.3000000000000004E-2</v>
      </c>
      <c r="D3">
        <v>43.2</v>
      </c>
      <c r="E3">
        <v>16.5</v>
      </c>
      <c r="F3">
        <v>10.1</v>
      </c>
      <c r="G3">
        <v>15.7</v>
      </c>
      <c r="H3">
        <v>16</v>
      </c>
      <c r="I3">
        <v>2</v>
      </c>
      <c r="J3" s="10">
        <v>0.56499999999999995</v>
      </c>
      <c r="K3" s="10">
        <v>0.188</v>
      </c>
      <c r="L3" s="10">
        <v>0.13900000000000001</v>
      </c>
      <c r="M3" s="10">
        <v>3.4000000000000002E-2</v>
      </c>
      <c r="N3" s="10">
        <v>6.9000000000000006E-2</v>
      </c>
      <c r="O3" s="10">
        <v>0.39500000000000002</v>
      </c>
      <c r="P3" s="10">
        <v>0.122</v>
      </c>
      <c r="Q3">
        <v>2</v>
      </c>
      <c r="R3">
        <v>17.2</v>
      </c>
      <c r="S3">
        <v>6.4</v>
      </c>
      <c r="T3">
        <v>17.2</v>
      </c>
      <c r="U3">
        <v>25.9</v>
      </c>
      <c r="V3">
        <v>8.3000000000000007</v>
      </c>
    </row>
    <row r="4" spans="1:22" x14ac:dyDescent="0.35">
      <c r="A4" t="s">
        <v>8</v>
      </c>
      <c r="B4">
        <v>0.3</v>
      </c>
      <c r="C4" s="10">
        <v>0.14099999999999999</v>
      </c>
      <c r="D4">
        <v>41.1</v>
      </c>
      <c r="E4">
        <v>12.3</v>
      </c>
      <c r="F4">
        <v>7.1</v>
      </c>
      <c r="G4">
        <v>12.5</v>
      </c>
      <c r="H4">
        <v>11.5</v>
      </c>
      <c r="I4">
        <v>1.4</v>
      </c>
      <c r="J4" s="10">
        <v>0.42100000000000004</v>
      </c>
      <c r="K4" s="10">
        <v>0.155</v>
      </c>
      <c r="L4" s="10">
        <v>0.122</v>
      </c>
      <c r="M4" s="10">
        <v>7.9000000000000001E-2</v>
      </c>
      <c r="N4" s="10">
        <v>3.7999999999999999E-2</v>
      </c>
      <c r="O4" s="10">
        <v>0.39600000000000002</v>
      </c>
      <c r="P4" s="10">
        <v>0.16300000000000001</v>
      </c>
      <c r="Q4">
        <v>2.1</v>
      </c>
      <c r="R4">
        <v>12.9</v>
      </c>
      <c r="S4">
        <v>5.3</v>
      </c>
      <c r="T4">
        <v>12.9</v>
      </c>
      <c r="U4">
        <v>24.2</v>
      </c>
      <c r="V4">
        <v>14.1</v>
      </c>
    </row>
    <row r="5" spans="1:22" x14ac:dyDescent="0.35">
      <c r="A5" t="s">
        <v>9</v>
      </c>
      <c r="B5">
        <v>0.4</v>
      </c>
      <c r="C5" s="10">
        <v>0.10800000000000001</v>
      </c>
      <c r="D5">
        <v>41.9</v>
      </c>
      <c r="E5">
        <v>14.9</v>
      </c>
      <c r="F5">
        <v>8.5</v>
      </c>
      <c r="G5">
        <v>14.3</v>
      </c>
      <c r="H5">
        <v>10.7</v>
      </c>
      <c r="I5">
        <v>1.2</v>
      </c>
      <c r="J5" s="10">
        <v>0.46500000000000002</v>
      </c>
      <c r="K5" s="10">
        <v>0.52200000000000002</v>
      </c>
      <c r="L5" s="10">
        <v>9.5000000000000001E-2</v>
      </c>
      <c r="M5" s="10">
        <v>8.3000000000000004E-2</v>
      </c>
      <c r="N5" s="10">
        <v>3.4000000000000002E-2</v>
      </c>
      <c r="O5" s="10">
        <v>0.28600000000000003</v>
      </c>
      <c r="P5" s="10">
        <v>0.23100000000000001</v>
      </c>
      <c r="Q5">
        <v>1.5</v>
      </c>
      <c r="R5">
        <v>19.100000000000001</v>
      </c>
      <c r="S5">
        <v>4.5999999999999996</v>
      </c>
      <c r="T5">
        <v>19.100000000000001</v>
      </c>
      <c r="U5">
        <v>25.2</v>
      </c>
      <c r="V5">
        <v>1.2</v>
      </c>
    </row>
    <row r="6" spans="1:22" x14ac:dyDescent="0.35">
      <c r="A6" t="s">
        <v>10</v>
      </c>
      <c r="C6" s="10">
        <v>0.121</v>
      </c>
      <c r="D6">
        <v>45.4</v>
      </c>
      <c r="E6">
        <v>11.2</v>
      </c>
      <c r="F6">
        <v>8.9</v>
      </c>
      <c r="G6">
        <v>9.6999999999999993</v>
      </c>
      <c r="H6">
        <v>11.4</v>
      </c>
      <c r="I6">
        <v>1.1000000000000001</v>
      </c>
      <c r="J6" s="10">
        <v>0.58700000000000008</v>
      </c>
      <c r="K6" s="10">
        <v>0.19</v>
      </c>
      <c r="L6" s="10">
        <v>0.13800000000000001</v>
      </c>
      <c r="M6" s="10">
        <v>5.7000000000000002E-2</v>
      </c>
      <c r="N6" s="10">
        <v>1.6E-2</v>
      </c>
      <c r="O6" s="10">
        <v>0.26700000000000002</v>
      </c>
      <c r="P6" s="10">
        <v>0.23399999999999999</v>
      </c>
      <c r="Q6">
        <v>2.2999999999999998</v>
      </c>
      <c r="R6">
        <v>19</v>
      </c>
      <c r="S6">
        <v>6</v>
      </c>
      <c r="T6">
        <v>19</v>
      </c>
      <c r="U6">
        <v>25.7</v>
      </c>
      <c r="V6">
        <v>1.8</v>
      </c>
    </row>
    <row r="7" spans="1:22" x14ac:dyDescent="0.35">
      <c r="A7" t="s">
        <v>11</v>
      </c>
      <c r="B7" t="s">
        <v>619</v>
      </c>
      <c r="C7" t="s">
        <v>619</v>
      </c>
      <c r="D7" t="s">
        <v>619</v>
      </c>
      <c r="E7" t="s">
        <v>619</v>
      </c>
      <c r="F7" t="s">
        <v>619</v>
      </c>
      <c r="G7" t="s">
        <v>619</v>
      </c>
      <c r="H7" t="s">
        <v>619</v>
      </c>
      <c r="I7" t="s">
        <v>619</v>
      </c>
      <c r="J7" t="s">
        <v>619</v>
      </c>
      <c r="K7" t="s">
        <v>619</v>
      </c>
      <c r="L7" t="s">
        <v>619</v>
      </c>
      <c r="M7" t="s">
        <v>619</v>
      </c>
      <c r="N7" t="s">
        <v>619</v>
      </c>
      <c r="O7" t="s">
        <v>619</v>
      </c>
      <c r="P7" t="s">
        <v>619</v>
      </c>
      <c r="Q7" t="s">
        <v>619</v>
      </c>
      <c r="R7" t="s">
        <v>619</v>
      </c>
      <c r="S7" t="s">
        <v>619</v>
      </c>
      <c r="T7" t="s">
        <v>619</v>
      </c>
      <c r="U7" t="s">
        <v>619</v>
      </c>
      <c r="V7" t="s">
        <v>619</v>
      </c>
    </row>
    <row r="8" spans="1:22" x14ac:dyDescent="0.35">
      <c r="A8" t="s">
        <v>12</v>
      </c>
      <c r="B8">
        <v>0.5</v>
      </c>
      <c r="C8" s="10">
        <v>0.11599999999999999</v>
      </c>
      <c r="D8">
        <v>38.5</v>
      </c>
      <c r="E8">
        <v>9</v>
      </c>
      <c r="F8">
        <v>9.8000000000000007</v>
      </c>
      <c r="G8">
        <v>11.3</v>
      </c>
      <c r="H8">
        <v>12.1</v>
      </c>
      <c r="I8">
        <v>0.7</v>
      </c>
      <c r="J8" s="10">
        <v>0.55899999999999994</v>
      </c>
      <c r="K8" s="10">
        <v>0.128</v>
      </c>
      <c r="L8" s="10">
        <v>0.125</v>
      </c>
      <c r="M8" s="10">
        <v>7.0999999999999994E-2</v>
      </c>
      <c r="N8" s="10">
        <v>3.7000000000000005E-2</v>
      </c>
      <c r="O8" s="10">
        <v>0.36499999999999999</v>
      </c>
      <c r="P8" s="10">
        <v>0.23699999999999999</v>
      </c>
      <c r="Q8">
        <v>2.2999999999999998</v>
      </c>
      <c r="R8">
        <v>13.2</v>
      </c>
      <c r="S8">
        <v>4.8</v>
      </c>
      <c r="T8">
        <v>13.2</v>
      </c>
      <c r="U8">
        <v>21.4</v>
      </c>
      <c r="V8">
        <v>3.3</v>
      </c>
    </row>
    <row r="9" spans="1:22" x14ac:dyDescent="0.35">
      <c r="A9" t="s">
        <v>13</v>
      </c>
      <c r="B9">
        <v>0.7</v>
      </c>
      <c r="C9" s="10">
        <v>0.13</v>
      </c>
      <c r="D9">
        <v>30.7</v>
      </c>
      <c r="E9">
        <v>5.8</v>
      </c>
      <c r="F9">
        <v>8.1</v>
      </c>
      <c r="G9">
        <v>6.5</v>
      </c>
      <c r="H9">
        <v>4.9000000000000004</v>
      </c>
      <c r="I9">
        <v>0.9</v>
      </c>
      <c r="J9" s="10">
        <v>0.51900000000000002</v>
      </c>
      <c r="K9" s="10">
        <v>0.17499999999999999</v>
      </c>
      <c r="L9" s="10">
        <v>0.14400000000000002</v>
      </c>
      <c r="M9" s="10">
        <v>3.2000000000000001E-2</v>
      </c>
      <c r="N9" s="10">
        <v>3.1E-2</v>
      </c>
      <c r="O9" s="10">
        <v>0.37799999999999995</v>
      </c>
      <c r="P9" s="10">
        <v>0.20899999999999999</v>
      </c>
      <c r="Q9">
        <v>1.1000000000000001</v>
      </c>
      <c r="R9">
        <v>13.1</v>
      </c>
      <c r="S9">
        <v>0.6</v>
      </c>
      <c r="T9">
        <v>13.1</v>
      </c>
      <c r="U9">
        <v>21.1</v>
      </c>
      <c r="V9">
        <v>4.5</v>
      </c>
    </row>
    <row r="10" spans="1:22" x14ac:dyDescent="0.35">
      <c r="A10" t="s">
        <v>14</v>
      </c>
      <c r="B10">
        <v>0.3</v>
      </c>
      <c r="C10" s="10">
        <v>0.153</v>
      </c>
      <c r="D10">
        <v>29.8</v>
      </c>
      <c r="E10">
        <v>11.7</v>
      </c>
      <c r="F10">
        <v>8.6</v>
      </c>
      <c r="G10">
        <v>8.4</v>
      </c>
      <c r="H10">
        <v>7.5</v>
      </c>
      <c r="I10">
        <v>0.6</v>
      </c>
      <c r="J10" s="10">
        <v>0.69799999999999995</v>
      </c>
      <c r="K10" s="10">
        <v>0.28800000000000003</v>
      </c>
      <c r="L10" s="10">
        <v>0.21199999999999999</v>
      </c>
      <c r="M10" s="10">
        <v>0.17199999999999999</v>
      </c>
      <c r="N10" s="10">
        <v>4.7E-2</v>
      </c>
      <c r="O10" s="10">
        <v>0.379</v>
      </c>
      <c r="P10" s="10">
        <v>0.109</v>
      </c>
      <c r="Q10">
        <v>0.6</v>
      </c>
      <c r="R10">
        <v>11.2</v>
      </c>
      <c r="S10">
        <v>4.4000000000000004</v>
      </c>
      <c r="T10">
        <v>11.2</v>
      </c>
      <c r="U10">
        <v>19.399999999999999</v>
      </c>
      <c r="V10">
        <v>3.9</v>
      </c>
    </row>
    <row r="11" spans="1:22" x14ac:dyDescent="0.35">
      <c r="A11" t="s">
        <v>15</v>
      </c>
      <c r="B11">
        <v>0.3</v>
      </c>
      <c r="C11" s="10">
        <v>0.14800000000000002</v>
      </c>
      <c r="D11">
        <v>38.4</v>
      </c>
      <c r="E11">
        <v>13.4</v>
      </c>
      <c r="F11">
        <v>7.9</v>
      </c>
      <c r="G11">
        <v>9.4</v>
      </c>
      <c r="H11">
        <v>5.7</v>
      </c>
      <c r="I11">
        <v>0.8</v>
      </c>
      <c r="J11" s="10">
        <v>0.52600000000000002</v>
      </c>
      <c r="K11" s="10">
        <v>0.17899999999999999</v>
      </c>
      <c r="L11" s="10">
        <v>0.185</v>
      </c>
      <c r="M11" s="10">
        <v>0.06</v>
      </c>
      <c r="N11" s="10">
        <v>8.1000000000000003E-2</v>
      </c>
      <c r="O11" s="10">
        <v>0.58899999999999997</v>
      </c>
      <c r="P11" s="10">
        <v>0.5</v>
      </c>
      <c r="Q11">
        <v>1</v>
      </c>
      <c r="R11">
        <v>12</v>
      </c>
      <c r="S11">
        <v>5.2</v>
      </c>
      <c r="T11">
        <v>12</v>
      </c>
      <c r="U11">
        <v>25.6</v>
      </c>
      <c r="V11">
        <v>2.7</v>
      </c>
    </row>
    <row r="12" spans="1:22" x14ac:dyDescent="0.35">
      <c r="A12" t="s">
        <v>16</v>
      </c>
      <c r="B12">
        <v>0.6</v>
      </c>
      <c r="C12" s="10">
        <v>0.158</v>
      </c>
      <c r="D12">
        <v>38.5</v>
      </c>
      <c r="E12">
        <v>11.6</v>
      </c>
      <c r="F12">
        <v>10.199999999999999</v>
      </c>
      <c r="G12">
        <v>7</v>
      </c>
      <c r="H12">
        <v>7.1</v>
      </c>
      <c r="I12">
        <v>1</v>
      </c>
      <c r="J12" s="10">
        <v>0.55100000000000005</v>
      </c>
      <c r="K12" s="10">
        <v>0.19</v>
      </c>
      <c r="L12" s="10">
        <v>0.16600000000000001</v>
      </c>
      <c r="M12" s="10">
        <v>9.6999999999999989E-2</v>
      </c>
      <c r="N12" s="10">
        <v>7.0000000000000007E-2</v>
      </c>
      <c r="O12" s="10">
        <v>0.39100000000000001</v>
      </c>
      <c r="P12" s="10">
        <v>0.187</v>
      </c>
      <c r="Q12">
        <v>1.5</v>
      </c>
      <c r="R12">
        <v>11.7</v>
      </c>
      <c r="S12">
        <v>3.9</v>
      </c>
      <c r="T12">
        <v>11.7</v>
      </c>
      <c r="U12">
        <v>26.5</v>
      </c>
      <c r="V12">
        <v>2.7</v>
      </c>
    </row>
    <row r="13" spans="1:22" ht="15" x14ac:dyDescent="0.4">
      <c r="A13" s="11" t="s">
        <v>567</v>
      </c>
      <c r="B13" t="s">
        <v>619</v>
      </c>
      <c r="C13" t="s">
        <v>619</v>
      </c>
      <c r="D13" t="s">
        <v>619</v>
      </c>
      <c r="E13" t="s">
        <v>619</v>
      </c>
      <c r="F13" t="s">
        <v>619</v>
      </c>
      <c r="G13" t="s">
        <v>619</v>
      </c>
      <c r="H13" t="s">
        <v>619</v>
      </c>
      <c r="I13" t="s">
        <v>619</v>
      </c>
      <c r="J13" t="s">
        <v>619</v>
      </c>
      <c r="K13" t="s">
        <v>619</v>
      </c>
      <c r="L13" t="s">
        <v>619</v>
      </c>
      <c r="M13" t="s">
        <v>619</v>
      </c>
      <c r="N13" t="s">
        <v>619</v>
      </c>
      <c r="O13" t="s">
        <v>619</v>
      </c>
      <c r="P13" t="s">
        <v>619</v>
      </c>
      <c r="Q13" t="s">
        <v>619</v>
      </c>
      <c r="R13" t="s">
        <v>619</v>
      </c>
      <c r="S13" t="s">
        <v>619</v>
      </c>
      <c r="T13" t="s">
        <v>619</v>
      </c>
      <c r="U13" t="s">
        <v>619</v>
      </c>
      <c r="V13" t="s">
        <v>619</v>
      </c>
    </row>
    <row r="14" spans="1:22" x14ac:dyDescent="0.35">
      <c r="A14" t="s">
        <v>513</v>
      </c>
      <c r="C14" s="10">
        <v>0.13</v>
      </c>
      <c r="D14">
        <v>38.9</v>
      </c>
      <c r="E14">
        <v>10.6</v>
      </c>
      <c r="F14">
        <v>8.4</v>
      </c>
      <c r="G14">
        <v>11.1</v>
      </c>
      <c r="H14">
        <v>12.5</v>
      </c>
      <c r="I14">
        <v>1.5</v>
      </c>
      <c r="J14" s="10">
        <v>0.247</v>
      </c>
      <c r="K14" s="10">
        <v>0.129</v>
      </c>
      <c r="L14" s="10">
        <v>0.109</v>
      </c>
      <c r="M14" s="10">
        <v>7.8E-2</v>
      </c>
      <c r="N14" s="10">
        <v>0.03</v>
      </c>
      <c r="O14" s="10">
        <v>0.41899999999999998</v>
      </c>
      <c r="P14" s="10">
        <v>0.21100000000000002</v>
      </c>
      <c r="Q14">
        <v>1.7</v>
      </c>
      <c r="R14">
        <v>13.9</v>
      </c>
      <c r="S14">
        <v>4.4000000000000004</v>
      </c>
      <c r="T14">
        <v>13.9</v>
      </c>
      <c r="U14">
        <v>22.9</v>
      </c>
      <c r="V14">
        <v>2.5</v>
      </c>
    </row>
    <row r="17" spans="3:3" x14ac:dyDescent="0.35">
      <c r="C17" s="10"/>
    </row>
    <row r="18" spans="3:3" x14ac:dyDescent="0.35">
      <c r="C18" s="10"/>
    </row>
    <row r="19" spans="3:3" x14ac:dyDescent="0.35">
      <c r="C19" s="10"/>
    </row>
    <row r="20" spans="3:3" x14ac:dyDescent="0.35">
      <c r="C20" s="10"/>
    </row>
    <row r="21" spans="3:3" x14ac:dyDescent="0.35">
      <c r="C21" s="10"/>
    </row>
    <row r="22" spans="3:3" x14ac:dyDescent="0.35">
      <c r="C22" s="10"/>
    </row>
    <row r="23" spans="3:3" x14ac:dyDescent="0.35">
      <c r="C23" s="10"/>
    </row>
    <row r="24" spans="3:3" x14ac:dyDescent="0.35">
      <c r="C24" s="10"/>
    </row>
    <row r="25" spans="3:3" x14ac:dyDescent="0.35">
      <c r="C25" s="10"/>
    </row>
    <row r="26" spans="3:3" x14ac:dyDescent="0.35">
      <c r="C26" s="10"/>
    </row>
    <row r="27" spans="3:3" x14ac:dyDescent="0.35">
      <c r="C27" s="10"/>
    </row>
    <row r="28" spans="3:3" x14ac:dyDescent="0.35">
      <c r="C28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22" sqref="C22"/>
    </sheetView>
  </sheetViews>
  <sheetFormatPr defaultRowHeight="14.5" x14ac:dyDescent="0.35"/>
  <sheetData>
    <row r="1" spans="1:3" x14ac:dyDescent="0.35">
      <c r="A1" t="s">
        <v>503</v>
      </c>
      <c r="C1" t="s">
        <v>512</v>
      </c>
    </row>
    <row r="2" spans="1:3" x14ac:dyDescent="0.35">
      <c r="A2" s="6" t="s">
        <v>505</v>
      </c>
    </row>
    <row r="3" spans="1:3" x14ac:dyDescent="0.35">
      <c r="A3" t="s">
        <v>483</v>
      </c>
      <c r="B3" t="s">
        <v>484</v>
      </c>
      <c r="C3" t="s">
        <v>485</v>
      </c>
    </row>
    <row r="4" spans="1:3" x14ac:dyDescent="0.35">
      <c r="A4" t="s">
        <v>486</v>
      </c>
      <c r="B4">
        <v>331</v>
      </c>
      <c r="C4">
        <v>76.3</v>
      </c>
    </row>
    <row r="5" spans="1:3" x14ac:dyDescent="0.35">
      <c r="A5" t="s">
        <v>487</v>
      </c>
      <c r="B5">
        <v>201</v>
      </c>
      <c r="C5">
        <v>46.3</v>
      </c>
    </row>
    <row r="6" spans="1:3" x14ac:dyDescent="0.35">
      <c r="A6" t="s">
        <v>488</v>
      </c>
      <c r="B6">
        <v>85</v>
      </c>
      <c r="C6">
        <v>19.600000000000001</v>
      </c>
    </row>
    <row r="7" spans="1:3" x14ac:dyDescent="0.35">
      <c r="A7" t="s">
        <v>489</v>
      </c>
      <c r="B7">
        <v>10</v>
      </c>
      <c r="C7">
        <v>2.2999999999999998</v>
      </c>
    </row>
    <row r="8" spans="1:3" x14ac:dyDescent="0.35">
      <c r="A8" t="s">
        <v>490</v>
      </c>
      <c r="B8">
        <v>75</v>
      </c>
      <c r="C8">
        <v>17.3</v>
      </c>
    </row>
    <row r="9" spans="1:3" x14ac:dyDescent="0.35">
      <c r="A9" t="s">
        <v>491</v>
      </c>
      <c r="B9">
        <v>45</v>
      </c>
      <c r="C9">
        <v>10.4</v>
      </c>
    </row>
    <row r="10" spans="1:3" x14ac:dyDescent="0.35">
      <c r="A10" t="s">
        <v>492</v>
      </c>
      <c r="B10">
        <v>31</v>
      </c>
      <c r="C10">
        <v>7.1</v>
      </c>
    </row>
    <row r="11" spans="1:3" x14ac:dyDescent="0.35">
      <c r="A11" t="s">
        <v>493</v>
      </c>
      <c r="B11">
        <v>14</v>
      </c>
      <c r="C11">
        <v>3.2</v>
      </c>
    </row>
    <row r="12" spans="1:3" x14ac:dyDescent="0.35">
      <c r="A12" t="s">
        <v>494</v>
      </c>
      <c r="B12">
        <v>103</v>
      </c>
      <c r="C12">
        <v>23.7</v>
      </c>
    </row>
    <row r="13" spans="1:3" x14ac:dyDescent="0.35">
      <c r="A13" t="s">
        <v>495</v>
      </c>
      <c r="B13">
        <v>85</v>
      </c>
      <c r="C13">
        <v>19.600000000000001</v>
      </c>
    </row>
    <row r="14" spans="1:3" x14ac:dyDescent="0.35">
      <c r="A14" t="s">
        <v>496</v>
      </c>
      <c r="B14">
        <v>30</v>
      </c>
      <c r="C14">
        <v>6.9</v>
      </c>
    </row>
    <row r="15" spans="1:3" x14ac:dyDescent="0.35">
      <c r="A15" t="s">
        <v>497</v>
      </c>
      <c r="B15">
        <v>55</v>
      </c>
      <c r="C15">
        <v>12.7</v>
      </c>
    </row>
    <row r="16" spans="1:3" x14ac:dyDescent="0.35">
      <c r="A16" t="s">
        <v>498</v>
      </c>
      <c r="B16">
        <v>15</v>
      </c>
      <c r="C16">
        <v>3.5</v>
      </c>
    </row>
    <row r="17" spans="1:8" x14ac:dyDescent="0.35">
      <c r="A17" t="s">
        <v>499</v>
      </c>
      <c r="B17" t="s">
        <v>500</v>
      </c>
      <c r="C17" t="s">
        <v>500</v>
      </c>
    </row>
    <row r="18" spans="1:8" x14ac:dyDescent="0.35">
      <c r="A18" t="s">
        <v>501</v>
      </c>
    </row>
    <row r="19" spans="1:8" x14ac:dyDescent="0.35">
      <c r="A19" t="s">
        <v>502</v>
      </c>
      <c r="B19">
        <v>434</v>
      </c>
      <c r="C19">
        <v>100</v>
      </c>
    </row>
    <row r="21" spans="1:8" x14ac:dyDescent="0.35">
      <c r="A21" s="6" t="s">
        <v>504</v>
      </c>
    </row>
    <row r="22" spans="1:8" x14ac:dyDescent="0.35">
      <c r="C22" t="s">
        <v>487</v>
      </c>
      <c r="D22" t="s">
        <v>506</v>
      </c>
      <c r="E22" t="s">
        <v>508</v>
      </c>
      <c r="F22" t="s">
        <v>495</v>
      </c>
      <c r="G22" t="s">
        <v>498</v>
      </c>
      <c r="H22" t="s">
        <v>499</v>
      </c>
    </row>
    <row r="23" spans="1:8" x14ac:dyDescent="0.35">
      <c r="D23" t="s">
        <v>507</v>
      </c>
      <c r="E23" t="s">
        <v>509</v>
      </c>
    </row>
    <row r="24" spans="1:8" x14ac:dyDescent="0.35">
      <c r="A24" t="s">
        <v>510</v>
      </c>
      <c r="B24" t="s">
        <v>511</v>
      </c>
      <c r="C24" t="s">
        <v>485</v>
      </c>
      <c r="D24" t="s">
        <v>485</v>
      </c>
      <c r="E24" t="s">
        <v>485</v>
      </c>
      <c r="F24" t="s">
        <v>485</v>
      </c>
      <c r="G24" t="s">
        <v>485</v>
      </c>
      <c r="H24" t="s">
        <v>485</v>
      </c>
    </row>
    <row r="25" spans="1:8" x14ac:dyDescent="0.35">
      <c r="A25" t="s">
        <v>3</v>
      </c>
      <c r="B25">
        <v>2012</v>
      </c>
      <c r="C25">
        <v>45</v>
      </c>
      <c r="D25">
        <v>19.3</v>
      </c>
      <c r="E25">
        <v>10.199999999999999</v>
      </c>
      <c r="F25">
        <v>20.399999999999999</v>
      </c>
      <c r="G25">
        <v>4.5</v>
      </c>
      <c r="H25" t="s">
        <v>500</v>
      </c>
    </row>
    <row r="26" spans="1:8" x14ac:dyDescent="0.35">
      <c r="A26" t="s">
        <v>3</v>
      </c>
      <c r="B26">
        <v>2013</v>
      </c>
      <c r="C26">
        <v>38</v>
      </c>
      <c r="D26">
        <v>19.899999999999999</v>
      </c>
      <c r="E26">
        <v>10.9</v>
      </c>
      <c r="F26">
        <v>24.5</v>
      </c>
      <c r="G26">
        <v>5.3</v>
      </c>
      <c r="H26" t="s">
        <v>500</v>
      </c>
    </row>
    <row r="27" spans="1:8" x14ac:dyDescent="0.35">
      <c r="A27" t="s">
        <v>3</v>
      </c>
      <c r="B27">
        <v>2014</v>
      </c>
      <c r="C27">
        <v>45.1</v>
      </c>
      <c r="D27">
        <v>22.8</v>
      </c>
      <c r="E27">
        <v>7.8</v>
      </c>
      <c r="F27">
        <v>18.7</v>
      </c>
      <c r="G27">
        <v>5.3</v>
      </c>
      <c r="H27" t="s">
        <v>500</v>
      </c>
    </row>
    <row r="28" spans="1:8" x14ac:dyDescent="0.35">
      <c r="A28" t="s">
        <v>3</v>
      </c>
      <c r="B28">
        <v>2015</v>
      </c>
      <c r="C28">
        <v>45.7</v>
      </c>
      <c r="D28">
        <v>22.1</v>
      </c>
      <c r="E28">
        <v>8.1999999999999993</v>
      </c>
      <c r="F28">
        <v>18.899999999999999</v>
      </c>
      <c r="G28">
        <v>3.7</v>
      </c>
      <c r="H28">
        <v>1.3</v>
      </c>
    </row>
    <row r="29" spans="1:8" x14ac:dyDescent="0.35">
      <c r="A29" t="s">
        <v>3</v>
      </c>
      <c r="B29">
        <v>2016</v>
      </c>
      <c r="C29">
        <v>46.3</v>
      </c>
      <c r="D29">
        <v>19.600000000000001</v>
      </c>
      <c r="E29">
        <v>10.4</v>
      </c>
      <c r="F29">
        <v>19.600000000000001</v>
      </c>
      <c r="G29">
        <v>3.5</v>
      </c>
      <c r="H29" t="s">
        <v>500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D3" sqref="D3"/>
    </sheetView>
  </sheetViews>
  <sheetFormatPr defaultRowHeight="14.5" x14ac:dyDescent="0.35"/>
  <cols>
    <col min="2" max="3" width="8.7265625" style="10"/>
  </cols>
  <sheetData>
    <row r="1" spans="1:4" x14ac:dyDescent="0.35">
      <c r="A1" t="s">
        <v>646</v>
      </c>
      <c r="D1" t="s">
        <v>647</v>
      </c>
    </row>
    <row r="2" spans="1:4" x14ac:dyDescent="0.35">
      <c r="B2" t="s">
        <v>688</v>
      </c>
      <c r="C2" t="s">
        <v>689</v>
      </c>
      <c r="D2" t="s">
        <v>648</v>
      </c>
    </row>
    <row r="3" spans="1:4" x14ac:dyDescent="0.35">
      <c r="B3" t="s">
        <v>687</v>
      </c>
      <c r="C3" t="s">
        <v>690</v>
      </c>
      <c r="D3" t="s">
        <v>649</v>
      </c>
    </row>
    <row r="4" spans="1:4" x14ac:dyDescent="0.35">
      <c r="A4" t="s">
        <v>691</v>
      </c>
      <c r="B4" s="10">
        <v>0.63365420620356627</v>
      </c>
      <c r="C4" s="10">
        <v>0.70452592912215795</v>
      </c>
      <c r="D4" t="s">
        <v>650</v>
      </c>
    </row>
    <row r="5" spans="1:4" x14ac:dyDescent="0.35">
      <c r="A5" t="s">
        <v>753</v>
      </c>
      <c r="B5" s="10">
        <v>0.9585069780427925</v>
      </c>
      <c r="C5" s="10">
        <v>0.80482983807123065</v>
      </c>
      <c r="D5" t="s">
        <v>650</v>
      </c>
    </row>
    <row r="6" spans="1:4" x14ac:dyDescent="0.35">
      <c r="A6" t="s">
        <v>724</v>
      </c>
      <c r="B6" s="10">
        <v>0.74890054971305497</v>
      </c>
      <c r="C6" s="10">
        <v>0.69876474127133936</v>
      </c>
      <c r="D6">
        <v>36.409876779103712</v>
      </c>
    </row>
    <row r="7" spans="1:4" x14ac:dyDescent="0.35">
      <c r="A7" t="s">
        <v>725</v>
      </c>
      <c r="B7" s="10">
        <v>0.87687665983919205</v>
      </c>
      <c r="C7" s="10">
        <v>0.73526836179175503</v>
      </c>
      <c r="D7">
        <v>19.551895941023169</v>
      </c>
    </row>
    <row r="8" spans="1:4" x14ac:dyDescent="0.35">
      <c r="A8" t="s">
        <v>692</v>
      </c>
      <c r="B8" s="10">
        <v>0.80190176162882776</v>
      </c>
      <c r="C8" s="10">
        <v>0.79536443160112347</v>
      </c>
      <c r="D8">
        <v>58.06835975491029</v>
      </c>
    </row>
    <row r="9" spans="1:4" x14ac:dyDescent="0.35">
      <c r="A9" t="s">
        <v>693</v>
      </c>
      <c r="B9" s="10">
        <v>0.80595551016107114</v>
      </c>
      <c r="C9" s="10">
        <v>0.75019813546444969</v>
      </c>
      <c r="D9">
        <v>50.980160332190486</v>
      </c>
    </row>
    <row r="10" spans="1:4" x14ac:dyDescent="0.35">
      <c r="A10" t="s">
        <v>726</v>
      </c>
      <c r="B10" s="10">
        <v>0.83850963956412428</v>
      </c>
      <c r="C10" s="10">
        <v>0.84785067513899914</v>
      </c>
      <c r="D10">
        <v>27.685854522122838</v>
      </c>
    </row>
    <row r="11" spans="1:4" x14ac:dyDescent="0.35">
      <c r="A11" t="s">
        <v>754</v>
      </c>
      <c r="B11" s="10">
        <v>0.80247366911205087</v>
      </c>
      <c r="C11" s="10">
        <v>0.75163552983054471</v>
      </c>
      <c r="D11" t="s">
        <v>650</v>
      </c>
    </row>
    <row r="12" spans="1:4" x14ac:dyDescent="0.35">
      <c r="A12" t="s">
        <v>727</v>
      </c>
      <c r="B12" s="10">
        <v>0.86483269415148611</v>
      </c>
      <c r="C12" s="10">
        <v>0.82518822438572093</v>
      </c>
      <c r="D12">
        <v>18.617519585937824</v>
      </c>
    </row>
    <row r="13" spans="1:4" x14ac:dyDescent="0.35">
      <c r="A13" t="s">
        <v>728</v>
      </c>
      <c r="B13" s="10">
        <v>0.83833591959044729</v>
      </c>
      <c r="C13" s="10">
        <v>0.78715479340473815</v>
      </c>
      <c r="D13">
        <v>34.081697414804452</v>
      </c>
    </row>
    <row r="14" spans="1:4" x14ac:dyDescent="0.35">
      <c r="A14" t="s">
        <v>694</v>
      </c>
      <c r="B14" s="10">
        <v>0.85763218390804596</v>
      </c>
      <c r="C14" s="10">
        <v>1.38375</v>
      </c>
      <c r="D14" t="s">
        <v>650</v>
      </c>
    </row>
    <row r="15" spans="1:4" x14ac:dyDescent="0.35">
      <c r="A15" t="s">
        <v>695</v>
      </c>
      <c r="B15" s="10">
        <v>0.90336786219420862</v>
      </c>
      <c r="C15" s="10">
        <v>0.7399068853695554</v>
      </c>
      <c r="D15">
        <v>47.201341640442244</v>
      </c>
    </row>
    <row r="16" spans="1:4" x14ac:dyDescent="0.35">
      <c r="A16" t="s">
        <v>7</v>
      </c>
      <c r="B16" s="10">
        <v>0.70421304459626266</v>
      </c>
      <c r="C16" s="10">
        <v>0.64086062136408617</v>
      </c>
      <c r="D16">
        <v>56.475888497469647</v>
      </c>
    </row>
    <row r="17" spans="1:4" x14ac:dyDescent="0.35">
      <c r="A17" t="s">
        <v>8</v>
      </c>
      <c r="B17" s="10">
        <v>0.75685104712041895</v>
      </c>
      <c r="C17" s="10">
        <v>0.64948490014612792</v>
      </c>
      <c r="D17">
        <v>35.563446222972125</v>
      </c>
    </row>
    <row r="18" spans="1:4" x14ac:dyDescent="0.35">
      <c r="A18" t="s">
        <v>696</v>
      </c>
      <c r="B18" s="10">
        <v>0.64593862190255313</v>
      </c>
      <c r="C18" s="10">
        <v>0.59713355452009265</v>
      </c>
      <c r="D18" t="s">
        <v>650</v>
      </c>
    </row>
    <row r="19" spans="1:4" x14ac:dyDescent="0.35">
      <c r="A19" t="s">
        <v>697</v>
      </c>
      <c r="B19" s="10">
        <v>0.90435441771074365</v>
      </c>
      <c r="C19" s="10">
        <v>0.7344448259605062</v>
      </c>
      <c r="D19">
        <v>66.643039772838222</v>
      </c>
    </row>
    <row r="20" spans="1:4" x14ac:dyDescent="0.35">
      <c r="A20" t="s">
        <v>698</v>
      </c>
      <c r="B20" s="10">
        <v>0.70694247167744972</v>
      </c>
      <c r="C20" s="10">
        <v>0.72548128220247388</v>
      </c>
      <c r="D20">
        <v>99.679440973110616</v>
      </c>
    </row>
    <row r="21" spans="1:4" x14ac:dyDescent="0.35">
      <c r="A21" t="s">
        <v>729</v>
      </c>
      <c r="B21" s="10">
        <v>0.81198385794995953</v>
      </c>
      <c r="C21" s="10">
        <v>0.87929430894308935</v>
      </c>
      <c r="D21">
        <v>13.71116542856976</v>
      </c>
    </row>
    <row r="22" spans="1:4" x14ac:dyDescent="0.35">
      <c r="A22" t="s">
        <v>699</v>
      </c>
      <c r="B22" s="10">
        <v>0.68747475408152559</v>
      </c>
      <c r="C22" s="10">
        <v>0.87396646227503083</v>
      </c>
      <c r="D22">
        <v>62.092632983480854</v>
      </c>
    </row>
    <row r="23" spans="1:4" x14ac:dyDescent="0.35">
      <c r="A23" t="s">
        <v>730</v>
      </c>
      <c r="B23" s="10">
        <v>0.8304207357859531</v>
      </c>
      <c r="C23" s="10">
        <v>0.62958994548758329</v>
      </c>
      <c r="D23">
        <v>53.040076441051966</v>
      </c>
    </row>
    <row r="24" spans="1:4" x14ac:dyDescent="0.35">
      <c r="A24" t="s">
        <v>700</v>
      </c>
      <c r="B24" s="10">
        <v>1.0812774293647081</v>
      </c>
      <c r="C24" s="10">
        <v>0.86612584404713333</v>
      </c>
      <c r="D24" t="s">
        <v>650</v>
      </c>
    </row>
    <row r="25" spans="1:4" x14ac:dyDescent="0.35">
      <c r="A25" t="s">
        <v>731</v>
      </c>
      <c r="B25" s="10">
        <v>0.8206243798724312</v>
      </c>
      <c r="C25" s="10">
        <v>0.74369592088998759</v>
      </c>
      <c r="D25">
        <v>18.926676269378415</v>
      </c>
    </row>
    <row r="26" spans="1:4" x14ac:dyDescent="0.35">
      <c r="A26" t="s">
        <v>701</v>
      </c>
      <c r="B26" s="10">
        <v>0.78967078062081375</v>
      </c>
      <c r="C26" s="10">
        <v>0.69048245478962622</v>
      </c>
      <c r="D26">
        <v>76.602092758801177</v>
      </c>
    </row>
    <row r="27" spans="1:4" x14ac:dyDescent="0.35">
      <c r="A27" t="s">
        <v>702</v>
      </c>
      <c r="B27" s="10">
        <v>0.8664463087248323</v>
      </c>
      <c r="C27" s="10">
        <v>0.73669047619047623</v>
      </c>
      <c r="D27">
        <v>74.571350437051308</v>
      </c>
    </row>
    <row r="28" spans="1:4" x14ac:dyDescent="0.35">
      <c r="A28" t="s">
        <v>732</v>
      </c>
      <c r="B28" s="10">
        <v>0.78001018194517657</v>
      </c>
      <c r="C28" s="10">
        <v>0.69860616369726136</v>
      </c>
      <c r="D28">
        <v>35.183164215427396</v>
      </c>
    </row>
    <row r="29" spans="1:4" x14ac:dyDescent="0.35">
      <c r="A29" t="s">
        <v>733</v>
      </c>
      <c r="B29" s="10">
        <v>0.75318401486988851</v>
      </c>
      <c r="C29" s="10">
        <v>0.70457806152060376</v>
      </c>
      <c r="D29">
        <v>20.336562650576631</v>
      </c>
    </row>
    <row r="30" spans="1:4" x14ac:dyDescent="0.35">
      <c r="A30" t="s">
        <v>734</v>
      </c>
      <c r="B30" s="10">
        <v>0.7719778467376408</v>
      </c>
      <c r="C30" s="10">
        <v>0.71268868402362751</v>
      </c>
      <c r="D30">
        <v>29.43186666305369</v>
      </c>
    </row>
    <row r="31" spans="1:4" x14ac:dyDescent="0.35">
      <c r="A31" t="s">
        <v>735</v>
      </c>
      <c r="B31" s="10">
        <v>0.76653551144752297</v>
      </c>
      <c r="C31" s="10">
        <v>0.70909286959888296</v>
      </c>
      <c r="D31">
        <v>64.032220863286625</v>
      </c>
    </row>
    <row r="32" spans="1:4" x14ac:dyDescent="0.35">
      <c r="A32" t="s">
        <v>703</v>
      </c>
      <c r="B32" s="10">
        <v>0.74899572339952769</v>
      </c>
      <c r="C32" s="10">
        <v>0.58124308189998797</v>
      </c>
      <c r="D32">
        <v>99.249844466143941</v>
      </c>
    </row>
    <row r="33" spans="1:4" x14ac:dyDescent="0.35">
      <c r="A33" t="s">
        <v>704</v>
      </c>
      <c r="B33" s="10">
        <v>0.86080392156862762</v>
      </c>
      <c r="C33" s="10">
        <v>0.76473626373626391</v>
      </c>
      <c r="D33" t="s">
        <v>650</v>
      </c>
    </row>
    <row r="34" spans="1:4" x14ac:dyDescent="0.35">
      <c r="A34" t="s">
        <v>736</v>
      </c>
      <c r="B34" s="10">
        <v>0.91482992662886242</v>
      </c>
      <c r="C34" s="10">
        <v>0.78043485087052544</v>
      </c>
      <c r="D34">
        <v>39.524536988367629</v>
      </c>
    </row>
    <row r="35" spans="1:4" x14ac:dyDescent="0.35">
      <c r="A35" t="s">
        <v>755</v>
      </c>
      <c r="B35" s="10">
        <v>0.93854181742816356</v>
      </c>
      <c r="C35" s="10">
        <v>0.79263664483231044</v>
      </c>
      <c r="D35">
        <v>73.309247638390005</v>
      </c>
    </row>
    <row r="36" spans="1:4" x14ac:dyDescent="0.35">
      <c r="A36" t="s">
        <v>9</v>
      </c>
      <c r="B36" s="10">
        <v>0.77961923622910201</v>
      </c>
      <c r="C36" s="10">
        <v>0.68188077023098836</v>
      </c>
      <c r="D36">
        <v>26.610647072951412</v>
      </c>
    </row>
    <row r="37" spans="1:4" x14ac:dyDescent="0.35">
      <c r="A37" t="s">
        <v>705</v>
      </c>
      <c r="B37" s="10">
        <v>0.8521973884823475</v>
      </c>
      <c r="C37" s="10">
        <v>0.72257649410917291</v>
      </c>
      <c r="D37">
        <v>91.21696715458252</v>
      </c>
    </row>
    <row r="38" spans="1:4" x14ac:dyDescent="0.35">
      <c r="A38" t="s">
        <v>737</v>
      </c>
      <c r="B38" s="10">
        <v>0.80189001264222526</v>
      </c>
      <c r="C38" s="10">
        <v>0.74163097398669076</v>
      </c>
      <c r="D38">
        <v>22.916495859988117</v>
      </c>
    </row>
    <row r="39" spans="1:4" x14ac:dyDescent="0.35">
      <c r="A39" t="s">
        <v>738</v>
      </c>
      <c r="B39" s="10">
        <v>0.76554167017779562</v>
      </c>
      <c r="C39" s="10">
        <v>0.72441626536516412</v>
      </c>
      <c r="D39">
        <v>25.354062384375382</v>
      </c>
    </row>
    <row r="40" spans="1:4" x14ac:dyDescent="0.35">
      <c r="A40" t="s">
        <v>739</v>
      </c>
      <c r="B40" s="10">
        <v>0.8364341088746825</v>
      </c>
      <c r="C40" s="10">
        <v>0.76923870348210377</v>
      </c>
      <c r="D40">
        <v>64.552827595957027</v>
      </c>
    </row>
    <row r="41" spans="1:4" x14ac:dyDescent="0.35">
      <c r="A41" t="s">
        <v>706</v>
      </c>
      <c r="B41" s="10">
        <v>1.0819919164270806</v>
      </c>
      <c r="C41" s="10">
        <v>0.85312499854793611</v>
      </c>
      <c r="D41" t="s">
        <v>650</v>
      </c>
    </row>
    <row r="42" spans="1:4" x14ac:dyDescent="0.35">
      <c r="A42" t="s">
        <v>707</v>
      </c>
      <c r="B42" s="10">
        <v>0.77485343707216925</v>
      </c>
      <c r="C42" s="10">
        <v>0.73273476695009454</v>
      </c>
      <c r="D42">
        <v>53.91094550479967</v>
      </c>
    </row>
    <row r="43" spans="1:4" x14ac:dyDescent="0.35">
      <c r="A43" t="s">
        <v>740</v>
      </c>
      <c r="B43" s="10">
        <v>0.7771083939423391</v>
      </c>
      <c r="C43" s="10">
        <v>0.7605165846908819</v>
      </c>
      <c r="D43">
        <v>19.068229417376347</v>
      </c>
    </row>
    <row r="44" spans="1:4" x14ac:dyDescent="0.35">
      <c r="A44" t="s">
        <v>708</v>
      </c>
      <c r="B44" s="10">
        <v>0.35079393939393938</v>
      </c>
      <c r="C44" s="10">
        <v>0.69628476821192065</v>
      </c>
      <c r="D44" t="s">
        <v>650</v>
      </c>
    </row>
    <row r="45" spans="1:4" x14ac:dyDescent="0.35">
      <c r="A45" t="s">
        <v>741</v>
      </c>
      <c r="B45" s="10">
        <v>0.85132456140350887</v>
      </c>
      <c r="C45" s="10">
        <v>0.79232295081967208</v>
      </c>
      <c r="D45">
        <v>20.231487984031109</v>
      </c>
    </row>
    <row r="46" spans="1:4" x14ac:dyDescent="0.35">
      <c r="A46" t="s">
        <v>742</v>
      </c>
      <c r="B46" s="10">
        <v>0.82656134555760175</v>
      </c>
      <c r="C46" s="10">
        <v>0.67899683900776775</v>
      </c>
      <c r="D46">
        <v>35.105363079846043</v>
      </c>
    </row>
    <row r="47" spans="1:4" x14ac:dyDescent="0.35">
      <c r="A47" t="s">
        <v>743</v>
      </c>
      <c r="B47" s="10">
        <v>0.73254409698377021</v>
      </c>
      <c r="C47" s="10">
        <v>0.74387005289741348</v>
      </c>
      <c r="D47">
        <v>15.225118108328298</v>
      </c>
    </row>
    <row r="48" spans="1:4" x14ac:dyDescent="0.35">
      <c r="A48" t="s">
        <v>10</v>
      </c>
      <c r="B48" s="10">
        <v>0.7029153441862509</v>
      </c>
      <c r="C48" s="10">
        <v>0.62549882886686781</v>
      </c>
      <c r="D48">
        <v>32.976814270142825</v>
      </c>
    </row>
    <row r="49" spans="1:4" x14ac:dyDescent="0.35">
      <c r="A49" t="s">
        <v>756</v>
      </c>
      <c r="B49" s="10">
        <v>0.73339494680851081</v>
      </c>
      <c r="C49" s="10">
        <v>0.55588929889298888</v>
      </c>
      <c r="D49">
        <v>64.882847554527373</v>
      </c>
    </row>
    <row r="50" spans="1:4" x14ac:dyDescent="0.35">
      <c r="A50" t="s">
        <v>11</v>
      </c>
      <c r="B50" s="10">
        <v>0.82353918274550353</v>
      </c>
      <c r="C50" s="10">
        <v>0.8092241375330298</v>
      </c>
      <c r="D50">
        <v>65.0191556685607</v>
      </c>
    </row>
    <row r="51" spans="1:4" x14ac:dyDescent="0.35">
      <c r="A51" t="s">
        <v>709</v>
      </c>
      <c r="B51" s="10">
        <v>0.78550397877984079</v>
      </c>
      <c r="C51" s="10">
        <v>0.72746173469387743</v>
      </c>
      <c r="D51">
        <v>47.344671875839573</v>
      </c>
    </row>
    <row r="52" spans="1:4" x14ac:dyDescent="0.35">
      <c r="A52" t="s">
        <v>744</v>
      </c>
      <c r="B52" s="10">
        <v>0.8294627575277338</v>
      </c>
      <c r="C52" s="10">
        <v>0.76836071428571429</v>
      </c>
      <c r="D52">
        <v>17.317023878145225</v>
      </c>
    </row>
    <row r="53" spans="1:4" x14ac:dyDescent="0.35">
      <c r="A53" t="s">
        <v>745</v>
      </c>
      <c r="B53" s="10">
        <v>0.81862648360263268</v>
      </c>
      <c r="C53" s="10">
        <v>0.85870343024146079</v>
      </c>
      <c r="D53">
        <v>26.5795696264918</v>
      </c>
    </row>
    <row r="54" spans="1:4" x14ac:dyDescent="0.35">
      <c r="A54" t="s">
        <v>710</v>
      </c>
      <c r="B54" s="10">
        <v>0.85034180348301147</v>
      </c>
      <c r="C54" s="10">
        <v>0.65955116424650584</v>
      </c>
      <c r="D54">
        <v>39.399255630097606</v>
      </c>
    </row>
    <row r="55" spans="1:4" x14ac:dyDescent="0.35">
      <c r="A55" t="s">
        <v>746</v>
      </c>
      <c r="B55" s="10">
        <v>0.82703703316369059</v>
      </c>
      <c r="C55" s="10">
        <v>0.73059366208388843</v>
      </c>
      <c r="D55">
        <v>25.736099436218382</v>
      </c>
    </row>
    <row r="56" spans="1:4" x14ac:dyDescent="0.35">
      <c r="A56" t="s">
        <v>12</v>
      </c>
      <c r="B56" s="10">
        <v>0.83493903803131997</v>
      </c>
      <c r="C56" s="10">
        <v>0.77218948521358177</v>
      </c>
      <c r="D56">
        <v>38.475553014630933</v>
      </c>
    </row>
    <row r="57" spans="1:4" x14ac:dyDescent="0.35">
      <c r="A57" t="s">
        <v>711</v>
      </c>
      <c r="B57" s="10">
        <v>0.63067834239669873</v>
      </c>
      <c r="C57" s="10">
        <v>0.66011529478580744</v>
      </c>
      <c r="D57" t="s">
        <v>650</v>
      </c>
    </row>
    <row r="58" spans="1:4" x14ac:dyDescent="0.35">
      <c r="A58" t="s">
        <v>712</v>
      </c>
      <c r="B58" s="10">
        <v>0.95828477764169828</v>
      </c>
      <c r="C58" s="10">
        <v>0.75528170353370716</v>
      </c>
      <c r="D58">
        <v>92.762417784332683</v>
      </c>
    </row>
    <row r="59" spans="1:4" x14ac:dyDescent="0.35">
      <c r="A59" t="s">
        <v>713</v>
      </c>
      <c r="B59" s="10">
        <v>0.82668123203671118</v>
      </c>
      <c r="C59" s="10">
        <v>0.59353816933099535</v>
      </c>
      <c r="D59" t="s">
        <v>650</v>
      </c>
    </row>
    <row r="60" spans="1:4" x14ac:dyDescent="0.35">
      <c r="A60" t="s">
        <v>13</v>
      </c>
      <c r="B60" s="10">
        <v>0.80469825708060994</v>
      </c>
      <c r="C60" s="10">
        <v>0.73962475049900189</v>
      </c>
      <c r="D60">
        <v>22.894968456608225</v>
      </c>
    </row>
    <row r="61" spans="1:4" x14ac:dyDescent="0.35">
      <c r="A61" t="s">
        <v>714</v>
      </c>
      <c r="B61" s="10">
        <v>1.0769239952662606</v>
      </c>
      <c r="C61" s="10">
        <v>0.86722990155387558</v>
      </c>
      <c r="D61">
        <v>92.822013632398836</v>
      </c>
    </row>
    <row r="62" spans="1:4" x14ac:dyDescent="0.35">
      <c r="A62" t="s">
        <v>747</v>
      </c>
      <c r="B62" s="10">
        <v>0.93870036077812491</v>
      </c>
      <c r="C62" s="10">
        <v>0.85982276788165668</v>
      </c>
      <c r="D62">
        <v>47.242014682356263</v>
      </c>
    </row>
    <row r="63" spans="1:4" x14ac:dyDescent="0.35">
      <c r="A63" t="s">
        <v>715</v>
      </c>
      <c r="B63" s="10">
        <v>0.88019852093269235</v>
      </c>
      <c r="C63" s="10">
        <v>0.81730298842414895</v>
      </c>
      <c r="D63" t="s">
        <v>650</v>
      </c>
    </row>
    <row r="64" spans="1:4" x14ac:dyDescent="0.35">
      <c r="A64" t="s">
        <v>651</v>
      </c>
      <c r="B64" s="10">
        <v>0.79880000000000007</v>
      </c>
      <c r="C64" s="10">
        <v>0.67393478260869566</v>
      </c>
      <c r="D64">
        <v>0</v>
      </c>
    </row>
    <row r="65" spans="1:4" x14ac:dyDescent="0.35">
      <c r="A65" t="s">
        <v>716</v>
      </c>
      <c r="B65" s="10">
        <v>0.72779700416350868</v>
      </c>
      <c r="C65" s="10">
        <v>0.80645619713218542</v>
      </c>
      <c r="D65">
        <v>49.05983801198262</v>
      </c>
    </row>
    <row r="66" spans="1:4" x14ac:dyDescent="0.35">
      <c r="A66" t="s">
        <v>717</v>
      </c>
      <c r="B66" s="10">
        <v>0.67526157359897354</v>
      </c>
      <c r="C66" s="10">
        <v>0.83178272364075156</v>
      </c>
      <c r="D66" t="s">
        <v>650</v>
      </c>
    </row>
    <row r="67" spans="1:4" x14ac:dyDescent="0.35">
      <c r="A67" t="s">
        <v>748</v>
      </c>
      <c r="B67" s="10">
        <v>1.0168188302425107</v>
      </c>
      <c r="C67" s="10">
        <v>0.83297222222222222</v>
      </c>
      <c r="D67">
        <v>27.53759690352922</v>
      </c>
    </row>
    <row r="68" spans="1:4" x14ac:dyDescent="0.35">
      <c r="A68" t="s">
        <v>718</v>
      </c>
      <c r="B68" s="10">
        <v>1.0129173615778306</v>
      </c>
      <c r="C68" s="10">
        <v>0.78669664659318894</v>
      </c>
      <c r="D68">
        <v>115.03985199664183</v>
      </c>
    </row>
    <row r="69" spans="1:4" x14ac:dyDescent="0.35">
      <c r="A69" t="s">
        <v>719</v>
      </c>
      <c r="B69" s="10">
        <v>0.83423574231924247</v>
      </c>
      <c r="C69" s="10">
        <v>0.82283581039805098</v>
      </c>
      <c r="D69">
        <v>35.03178757634759</v>
      </c>
    </row>
    <row r="70" spans="1:4" x14ac:dyDescent="0.35">
      <c r="A70" t="s">
        <v>757</v>
      </c>
      <c r="B70" s="10">
        <v>0.85684978896897168</v>
      </c>
      <c r="C70" s="10">
        <v>0.70491304807949962</v>
      </c>
      <c r="D70">
        <v>44.105699945174244</v>
      </c>
    </row>
    <row r="71" spans="1:4" x14ac:dyDescent="0.35">
      <c r="A71" t="s">
        <v>720</v>
      </c>
      <c r="B71" s="10">
        <v>0.67813459343031779</v>
      </c>
      <c r="C71" s="10">
        <v>0.70813917547317229</v>
      </c>
      <c r="D71" t="s">
        <v>650</v>
      </c>
    </row>
    <row r="72" spans="1:4" x14ac:dyDescent="0.35">
      <c r="A72" t="s">
        <v>758</v>
      </c>
      <c r="B72" s="10">
        <v>0.81173775216138333</v>
      </c>
      <c r="C72" s="10">
        <v>0.73363563829787226</v>
      </c>
      <c r="D72">
        <v>94.61096553115857</v>
      </c>
    </row>
    <row r="73" spans="1:4" x14ac:dyDescent="0.35">
      <c r="A73" t="s">
        <v>749</v>
      </c>
      <c r="B73" s="10">
        <v>1.0077741739347699</v>
      </c>
      <c r="C73" s="10">
        <v>0.82029103126816627</v>
      </c>
      <c r="D73">
        <v>32.841599822473341</v>
      </c>
    </row>
    <row r="74" spans="1:4" x14ac:dyDescent="0.35">
      <c r="A74" t="s">
        <v>721</v>
      </c>
      <c r="B74" s="10">
        <v>0.81612278061445043</v>
      </c>
      <c r="C74" s="10">
        <v>0.68169530328367278</v>
      </c>
      <c r="D74">
        <v>44.267753602323388</v>
      </c>
    </row>
    <row r="75" spans="1:4" x14ac:dyDescent="0.35">
      <c r="A75" t="s">
        <v>722</v>
      </c>
      <c r="B75" s="10">
        <v>0.88275538280576371</v>
      </c>
      <c r="C75" s="10">
        <v>0.75066076120539738</v>
      </c>
      <c r="D75" t="s">
        <v>650</v>
      </c>
    </row>
    <row r="76" spans="1:4" x14ac:dyDescent="0.35">
      <c r="A76" t="s">
        <v>750</v>
      </c>
      <c r="B76" s="10">
        <v>0.95696238735439321</v>
      </c>
      <c r="C76" s="10">
        <v>0.86804206351203173</v>
      </c>
      <c r="D76">
        <v>23.11733531467635</v>
      </c>
    </row>
    <row r="77" spans="1:4" x14ac:dyDescent="0.35">
      <c r="A77" t="s">
        <v>14</v>
      </c>
      <c r="B77" s="10">
        <v>0.76778954671600386</v>
      </c>
      <c r="C77" s="10">
        <v>0.75101309846431807</v>
      </c>
      <c r="D77">
        <v>24.766495420847129</v>
      </c>
    </row>
    <row r="78" spans="1:4" x14ac:dyDescent="0.35">
      <c r="A78" t="s">
        <v>751</v>
      </c>
      <c r="B78" s="10">
        <v>0.80059374999999999</v>
      </c>
      <c r="C78" s="10">
        <v>0.79722155688622753</v>
      </c>
      <c r="D78">
        <v>45.373190411911864</v>
      </c>
    </row>
    <row r="79" spans="1:4" x14ac:dyDescent="0.35">
      <c r="A79" t="s">
        <v>15</v>
      </c>
      <c r="B79" s="10">
        <v>0.8792670701316847</v>
      </c>
      <c r="C79" s="10">
        <v>0.70294472233141614</v>
      </c>
      <c r="D79">
        <v>29.928077521680468</v>
      </c>
    </row>
    <row r="80" spans="1:4" x14ac:dyDescent="0.35">
      <c r="A80" t="s">
        <v>752</v>
      </c>
      <c r="B80" s="10">
        <v>0.85241580010464935</v>
      </c>
      <c r="C80" s="10">
        <v>0.80349665967089778</v>
      </c>
      <c r="D80">
        <v>32.253204653427758</v>
      </c>
    </row>
    <row r="81" spans="1:4" x14ac:dyDescent="0.35">
      <c r="A81" t="s">
        <v>16</v>
      </c>
      <c r="B81" s="10">
        <v>0.79504642465127329</v>
      </c>
      <c r="C81" s="10">
        <v>0.6468053648231824</v>
      </c>
      <c r="D81">
        <v>32.339347933433309</v>
      </c>
    </row>
    <row r="82" spans="1:4" x14ac:dyDescent="0.35">
      <c r="A82" t="s">
        <v>723</v>
      </c>
      <c r="B82" s="10">
        <v>0.89080582501194949</v>
      </c>
      <c r="C82" s="10">
        <v>0.70494629267573738</v>
      </c>
      <c r="D82" t="s">
        <v>650</v>
      </c>
    </row>
    <row r="83" spans="1:4" x14ac:dyDescent="0.35">
      <c r="A83" t="s">
        <v>652</v>
      </c>
      <c r="B83" s="10" t="e">
        <v>#VALUE!</v>
      </c>
      <c r="C83" s="10" t="e">
        <v>#VALUE!</v>
      </c>
      <c r="D83">
        <v>0</v>
      </c>
    </row>
    <row r="84" spans="1:4" x14ac:dyDescent="0.35">
      <c r="A84" t="s">
        <v>653</v>
      </c>
      <c r="B84" s="10" t="e">
        <v>#VALUE!</v>
      </c>
      <c r="C84" s="10" t="e">
        <v>#VALUE!</v>
      </c>
      <c r="D84" t="s">
        <v>650</v>
      </c>
    </row>
    <row r="87" spans="1:4" x14ac:dyDescent="0.35">
      <c r="A87" t="s">
        <v>654</v>
      </c>
      <c r="D87">
        <v>38.273669101306254</v>
      </c>
    </row>
    <row r="88" spans="1:4" x14ac:dyDescent="0.35">
      <c r="A88" t="s">
        <v>655</v>
      </c>
      <c r="D88">
        <v>29.685928204053635</v>
      </c>
    </row>
    <row r="89" spans="1:4" x14ac:dyDescent="0.35">
      <c r="A89" t="s">
        <v>656</v>
      </c>
      <c r="D89">
        <v>54.15192156691608</v>
      </c>
    </row>
    <row r="90" spans="1:4" x14ac:dyDescent="0.35">
      <c r="A90" t="s">
        <v>657</v>
      </c>
      <c r="D90">
        <v>30.177826266654826</v>
      </c>
    </row>
    <row r="91" spans="1:4" x14ac:dyDescent="0.35">
      <c r="A91" t="s">
        <v>658</v>
      </c>
      <c r="D91">
        <v>60.437464585091355</v>
      </c>
    </row>
    <row r="93" spans="1:4" x14ac:dyDescent="0.35">
      <c r="A93" t="s">
        <v>659</v>
      </c>
      <c r="D93">
        <v>34.170416408669517</v>
      </c>
    </row>
    <row r="94" spans="1:4" x14ac:dyDescent="0.35">
      <c r="A94" t="s">
        <v>660</v>
      </c>
      <c r="D94">
        <v>26.075449888919529</v>
      </c>
    </row>
    <row r="95" spans="1:4" x14ac:dyDescent="0.35">
      <c r="A95" t="s">
        <v>661</v>
      </c>
      <c r="D95">
        <v>48.326427058159545</v>
      </c>
    </row>
    <row r="96" spans="1:4" x14ac:dyDescent="0.35">
      <c r="A96" t="s">
        <v>662</v>
      </c>
      <c r="D96">
        <v>26.3644225927784</v>
      </c>
    </row>
    <row r="97" spans="1:4" x14ac:dyDescent="0.35">
      <c r="A97" t="s">
        <v>663</v>
      </c>
      <c r="D97">
        <v>56.053046090704633</v>
      </c>
    </row>
    <row r="99" spans="1:4" x14ac:dyDescent="0.35">
      <c r="A99" t="s">
        <v>513</v>
      </c>
      <c r="D99">
        <v>32.889706485917493</v>
      </c>
    </row>
    <row r="100" spans="1:4" x14ac:dyDescent="0.35">
      <c r="A100" t="s">
        <v>664</v>
      </c>
      <c r="D100">
        <v>27.651506796850558</v>
      </c>
    </row>
    <row r="101" spans="1:4" x14ac:dyDescent="0.35">
      <c r="A101" t="s">
        <v>665</v>
      </c>
      <c r="D101">
        <v>50.037532593197149</v>
      </c>
    </row>
    <row r="102" spans="1:4" x14ac:dyDescent="0.35">
      <c r="A102" t="s">
        <v>666</v>
      </c>
      <c r="D102">
        <v>27.796215063144825</v>
      </c>
    </row>
    <row r="103" spans="1:4" x14ac:dyDescent="0.35">
      <c r="A103" t="s">
        <v>667</v>
      </c>
      <c r="D103">
        <v>54.857868721259592</v>
      </c>
    </row>
    <row r="105" spans="1:4" x14ac:dyDescent="0.35">
      <c r="A105" t="s">
        <v>668</v>
      </c>
      <c r="D105">
        <v>43.721028016817911</v>
      </c>
    </row>
    <row r="106" spans="1:4" x14ac:dyDescent="0.35">
      <c r="A106" t="s">
        <v>669</v>
      </c>
      <c r="D106">
        <v>34.397884561142412</v>
      </c>
    </row>
    <row r="107" spans="1:4" x14ac:dyDescent="0.35">
      <c r="A107" t="s">
        <v>670</v>
      </c>
      <c r="D107">
        <v>50.676691104161144</v>
      </c>
    </row>
    <row r="108" spans="1:4" x14ac:dyDescent="0.35">
      <c r="A108" t="s">
        <v>671</v>
      </c>
      <c r="D108">
        <v>36.107793510628646</v>
      </c>
    </row>
    <row r="109" spans="1:4" x14ac:dyDescent="0.35">
      <c r="A109" t="s">
        <v>672</v>
      </c>
      <c r="D109">
        <v>55.93343521714943</v>
      </c>
    </row>
    <row r="111" spans="1:4" x14ac:dyDescent="0.35">
      <c r="A111" t="s">
        <v>673</v>
      </c>
      <c r="D111">
        <v>35.282344009190616</v>
      </c>
    </row>
    <row r="112" spans="1:4" x14ac:dyDescent="0.35">
      <c r="A112" t="s">
        <v>674</v>
      </c>
      <c r="D112">
        <v>28.890960609194057</v>
      </c>
    </row>
    <row r="113" spans="1:4" x14ac:dyDescent="0.35">
      <c r="A113" t="s">
        <v>675</v>
      </c>
      <c r="D113">
        <v>61.385138077938734</v>
      </c>
    </row>
    <row r="115" spans="1:4" x14ac:dyDescent="0.35">
      <c r="A115" t="s">
        <v>676</v>
      </c>
      <c r="D115">
        <v>46.579144982724458</v>
      </c>
    </row>
    <row r="116" spans="1:4" x14ac:dyDescent="0.35">
      <c r="A116" t="s">
        <v>677</v>
      </c>
      <c r="D116">
        <v>33.848243658228064</v>
      </c>
    </row>
    <row r="117" spans="1:4" x14ac:dyDescent="0.35">
      <c r="A117" t="s">
        <v>678</v>
      </c>
      <c r="D117">
        <v>86.172892111008906</v>
      </c>
    </row>
    <row r="119" spans="1:4" x14ac:dyDescent="0.35">
      <c r="A119" t="s">
        <v>679</v>
      </c>
      <c r="D119">
        <v>45.867178328520929</v>
      </c>
    </row>
    <row r="120" spans="1:4" x14ac:dyDescent="0.35">
      <c r="A120" t="s">
        <v>680</v>
      </c>
      <c r="D120">
        <v>50.831938067066659</v>
      </c>
    </row>
    <row r="121" spans="1:4" x14ac:dyDescent="0.35">
      <c r="A121" t="s">
        <v>681</v>
      </c>
      <c r="D121">
        <v>40.043767519452295</v>
      </c>
    </row>
    <row r="123" spans="1:4" x14ac:dyDescent="0.35">
      <c r="A123" t="s">
        <v>682</v>
      </c>
      <c r="D123">
        <v>117.36546002010586</v>
      </c>
    </row>
    <row r="124" spans="1:4" x14ac:dyDescent="0.35">
      <c r="A124" t="s">
        <v>683</v>
      </c>
      <c r="D124">
        <v>64.141021665428013</v>
      </c>
    </row>
    <row r="125" spans="1:4" x14ac:dyDescent="0.35">
      <c r="A125" t="s">
        <v>684</v>
      </c>
      <c r="D125">
        <v>166.74994580184006</v>
      </c>
    </row>
    <row r="127" spans="1:4" x14ac:dyDescent="0.35">
      <c r="A127" t="s">
        <v>685</v>
      </c>
      <c r="D127">
        <v>24.461499431328857</v>
      </c>
    </row>
    <row r="128" spans="1:4" x14ac:dyDescent="0.35">
      <c r="A128" t="s">
        <v>686</v>
      </c>
      <c r="D128">
        <v>24.461499431328864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6" sqref="A6"/>
    </sheetView>
  </sheetViews>
  <sheetFormatPr defaultRowHeight="14.5" x14ac:dyDescent="0.35"/>
  <sheetData>
    <row r="1" spans="1:3" x14ac:dyDescent="0.35">
      <c r="A1" t="s">
        <v>548</v>
      </c>
    </row>
    <row r="2" spans="1:3" x14ac:dyDescent="0.35">
      <c r="A2">
        <v>2009</v>
      </c>
      <c r="B2" t="s">
        <v>7</v>
      </c>
    </row>
    <row r="3" spans="1:3" x14ac:dyDescent="0.35">
      <c r="A3" s="8" t="s">
        <v>549</v>
      </c>
      <c r="B3">
        <v>8.6</v>
      </c>
    </row>
    <row r="4" spans="1:3" x14ac:dyDescent="0.35">
      <c r="A4" t="s">
        <v>550</v>
      </c>
      <c r="B4">
        <v>11</v>
      </c>
    </row>
    <row r="5" spans="1:3" x14ac:dyDescent="0.35">
      <c r="A5" t="s">
        <v>551</v>
      </c>
      <c r="B5">
        <v>46.5</v>
      </c>
    </row>
    <row r="6" spans="1:3" x14ac:dyDescent="0.35">
      <c r="A6" t="s">
        <v>552</v>
      </c>
      <c r="B6" t="s">
        <v>553</v>
      </c>
      <c r="C6" t="s">
        <v>554</v>
      </c>
    </row>
    <row r="7" spans="1:3" x14ac:dyDescent="0.35">
      <c r="A7" t="s">
        <v>555</v>
      </c>
      <c r="B7">
        <v>4.5</v>
      </c>
    </row>
    <row r="8" spans="1:3" x14ac:dyDescent="0.35">
      <c r="A8" t="s">
        <v>556</v>
      </c>
      <c r="B8">
        <v>8.3000000000000007</v>
      </c>
    </row>
    <row r="9" spans="1:3" x14ac:dyDescent="0.35">
      <c r="A9" t="s">
        <v>558</v>
      </c>
      <c r="B9" t="s">
        <v>557</v>
      </c>
      <c r="C9" t="s">
        <v>559</v>
      </c>
    </row>
    <row r="10" spans="1:3" x14ac:dyDescent="0.35">
      <c r="A10" t="s">
        <v>560</v>
      </c>
      <c r="B10" t="s">
        <v>561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K26" sqref="K26"/>
    </sheetView>
  </sheetViews>
  <sheetFormatPr defaultRowHeight="14.5" x14ac:dyDescent="0.35"/>
  <sheetData>
    <row r="1" spans="1:3" x14ac:dyDescent="0.35">
      <c r="A1" t="s">
        <v>546</v>
      </c>
    </row>
    <row r="2" spans="1:3" x14ac:dyDescent="0.35">
      <c r="A2" s="4" t="s">
        <v>535</v>
      </c>
    </row>
    <row r="3" spans="1:3" x14ac:dyDescent="0.35">
      <c r="A3" t="s">
        <v>536</v>
      </c>
      <c r="B3" s="7">
        <v>0.89200000000000002</v>
      </c>
    </row>
    <row r="4" spans="1:3" x14ac:dyDescent="0.35">
      <c r="A4" t="s">
        <v>537</v>
      </c>
      <c r="B4" t="s">
        <v>538</v>
      </c>
    </row>
    <row r="5" spans="1:3" x14ac:dyDescent="0.35">
      <c r="A5" t="s">
        <v>539</v>
      </c>
      <c r="B5" s="7">
        <v>0.81699999999999995</v>
      </c>
    </row>
    <row r="6" spans="1:3" x14ac:dyDescent="0.35">
      <c r="A6" t="s">
        <v>540</v>
      </c>
      <c r="B6">
        <v>7.7</v>
      </c>
      <c r="C6" t="s">
        <v>545</v>
      </c>
    </row>
    <row r="8" spans="1:3" x14ac:dyDescent="0.35">
      <c r="A8" t="s">
        <v>541</v>
      </c>
      <c r="B8">
        <v>6.6</v>
      </c>
      <c r="C8" t="s">
        <v>544</v>
      </c>
    </row>
    <row r="9" spans="1:3" x14ac:dyDescent="0.35">
      <c r="A9" t="s">
        <v>542</v>
      </c>
      <c r="B9">
        <v>1.9</v>
      </c>
    </row>
    <row r="10" spans="1:3" x14ac:dyDescent="0.35">
      <c r="A10" t="s">
        <v>543</v>
      </c>
      <c r="B10">
        <v>1.4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H32" sqref="H32"/>
    </sheetView>
  </sheetViews>
  <sheetFormatPr defaultRowHeight="14.5" x14ac:dyDescent="0.35"/>
  <sheetData>
    <row r="1" spans="1:11" x14ac:dyDescent="0.35">
      <c r="A1" s="4" t="s">
        <v>565</v>
      </c>
    </row>
    <row r="3" spans="1:11" x14ac:dyDescent="0.35">
      <c r="B3" s="2" t="s">
        <v>6</v>
      </c>
      <c r="C3" t="s">
        <v>4</v>
      </c>
      <c r="D3" t="s">
        <v>570</v>
      </c>
      <c r="E3" t="s">
        <v>571</v>
      </c>
      <c r="G3" s="2" t="s">
        <v>6</v>
      </c>
      <c r="H3" t="s">
        <v>4</v>
      </c>
      <c r="I3" t="s">
        <v>570</v>
      </c>
    </row>
    <row r="4" spans="1:11" x14ac:dyDescent="0.35">
      <c r="A4" t="s">
        <v>7</v>
      </c>
      <c r="B4" s="3">
        <v>7675</v>
      </c>
      <c r="C4" s="3">
        <v>8311</v>
      </c>
      <c r="D4" s="3">
        <v>15993</v>
      </c>
      <c r="E4" s="3">
        <v>94130</v>
      </c>
      <c r="G4" s="10">
        <f>B4/E4</f>
        <v>8.1536173377244239E-2</v>
      </c>
      <c r="H4" s="10">
        <f>C4/E4</f>
        <v>8.8292786571762455E-2</v>
      </c>
      <c r="I4" s="10">
        <f>D4/E4</f>
        <v>0.16990332518856899</v>
      </c>
    </row>
    <row r="5" spans="1:11" x14ac:dyDescent="0.35">
      <c r="A5" t="s">
        <v>8</v>
      </c>
      <c r="B5" s="3">
        <v>24759</v>
      </c>
      <c r="C5" s="3">
        <v>29064</v>
      </c>
      <c r="D5" s="3">
        <v>53828</v>
      </c>
      <c r="E5" s="3">
        <v>299296</v>
      </c>
      <c r="G5" s="10">
        <f t="shared" ref="G5:G16" si="0">B5/E5</f>
        <v>8.2724125948893404E-2</v>
      </c>
      <c r="H5" s="10">
        <f t="shared" ref="H5:H16" si="1">C5/E5</f>
        <v>9.7107879824655186E-2</v>
      </c>
      <c r="I5" s="10">
        <f t="shared" ref="I5:I16" si="2">D5/E5</f>
        <v>0.179848711643323</v>
      </c>
    </row>
    <row r="6" spans="1:11" x14ac:dyDescent="0.35">
      <c r="A6" t="s">
        <v>9</v>
      </c>
      <c r="B6" s="3">
        <v>16334</v>
      </c>
      <c r="C6" s="3">
        <v>20284</v>
      </c>
      <c r="D6" s="3">
        <v>36622</v>
      </c>
      <c r="E6" s="3">
        <v>197376</v>
      </c>
      <c r="G6" s="10">
        <f t="shared" si="0"/>
        <v>8.2755755512321658E-2</v>
      </c>
      <c r="H6" s="10">
        <f t="shared" si="1"/>
        <v>0.10276832036316472</v>
      </c>
      <c r="I6" s="10">
        <f t="shared" si="2"/>
        <v>0.18554434176394294</v>
      </c>
    </row>
    <row r="7" spans="1:11" x14ac:dyDescent="0.35">
      <c r="A7" t="s">
        <v>10</v>
      </c>
      <c r="B7" s="3">
        <v>11250</v>
      </c>
      <c r="C7" s="3">
        <v>12084</v>
      </c>
      <c r="D7" s="3">
        <v>23334</v>
      </c>
      <c r="E7" s="3">
        <v>135443</v>
      </c>
      <c r="G7" s="10">
        <f t="shared" si="0"/>
        <v>8.3060770951618026E-2</v>
      </c>
      <c r="H7" s="10">
        <f t="shared" si="1"/>
        <v>8.9218342771497969E-2</v>
      </c>
      <c r="I7" s="10">
        <f t="shared" si="2"/>
        <v>0.172279113723116</v>
      </c>
    </row>
    <row r="8" spans="1:11" x14ac:dyDescent="0.35">
      <c r="A8" t="s">
        <v>11</v>
      </c>
      <c r="B8" s="3">
        <v>3427</v>
      </c>
      <c r="C8" s="3">
        <v>3563</v>
      </c>
      <c r="D8" s="3">
        <v>6992</v>
      </c>
      <c r="E8" s="3">
        <v>40916</v>
      </c>
      <c r="G8" s="10">
        <f t="shared" si="0"/>
        <v>8.3756965490272756E-2</v>
      </c>
      <c r="H8" s="10">
        <f t="shared" si="1"/>
        <v>8.7080848567797436E-2</v>
      </c>
      <c r="I8" s="10">
        <f t="shared" si="2"/>
        <v>0.1708866946915632</v>
      </c>
    </row>
    <row r="9" spans="1:11" x14ac:dyDescent="0.35">
      <c r="A9" t="s">
        <v>12</v>
      </c>
      <c r="B9" s="3">
        <v>10947</v>
      </c>
      <c r="C9" s="3">
        <v>10840</v>
      </c>
      <c r="D9" s="3">
        <v>21786</v>
      </c>
      <c r="E9" s="3">
        <v>154996</v>
      </c>
      <c r="G9" s="10">
        <f t="shared" si="0"/>
        <v>7.062762910010581E-2</v>
      </c>
      <c r="H9" s="10">
        <f t="shared" si="1"/>
        <v>6.9937288704224623E-2</v>
      </c>
      <c r="I9" s="10">
        <f t="shared" si="2"/>
        <v>0.14055846602492966</v>
      </c>
    </row>
    <row r="10" spans="1:11" x14ac:dyDescent="0.35">
      <c r="A10" t="s">
        <v>13</v>
      </c>
      <c r="B10" s="3">
        <v>5549</v>
      </c>
      <c r="C10" s="3">
        <v>5782</v>
      </c>
      <c r="D10" s="3">
        <v>11338</v>
      </c>
      <c r="E10" s="3">
        <v>61274</v>
      </c>
      <c r="G10" s="10">
        <f t="shared" si="0"/>
        <v>9.0560433462806414E-2</v>
      </c>
      <c r="H10" s="10">
        <f t="shared" si="1"/>
        <v>9.4363025100368841E-2</v>
      </c>
      <c r="I10" s="10">
        <f t="shared" si="2"/>
        <v>0.18503769951365995</v>
      </c>
    </row>
    <row r="11" spans="1:11" x14ac:dyDescent="0.35">
      <c r="A11" t="s">
        <v>14</v>
      </c>
      <c r="B11" s="3">
        <v>13824</v>
      </c>
      <c r="C11" s="3">
        <v>18369</v>
      </c>
      <c r="D11" s="3">
        <v>32190</v>
      </c>
      <c r="E11" s="3">
        <v>197490</v>
      </c>
      <c r="G11" s="10">
        <f t="shared" si="0"/>
        <v>6.9998480935743582E-2</v>
      </c>
      <c r="H11" s="10">
        <f t="shared" si="1"/>
        <v>9.3012304420476991E-2</v>
      </c>
      <c r="I11" s="10">
        <f t="shared" si="2"/>
        <v>0.16299559471365638</v>
      </c>
    </row>
    <row r="12" spans="1:11" x14ac:dyDescent="0.35">
      <c r="A12" t="s">
        <v>15</v>
      </c>
      <c r="B12" s="3">
        <v>15766</v>
      </c>
      <c r="C12" s="3">
        <v>18336</v>
      </c>
      <c r="D12" s="3">
        <v>34100</v>
      </c>
      <c r="E12" s="3">
        <v>217118</v>
      </c>
      <c r="G12" s="10">
        <f t="shared" si="0"/>
        <v>7.261489144152028E-2</v>
      </c>
      <c r="H12" s="10">
        <f t="shared" si="1"/>
        <v>8.4451772768724842E-2</v>
      </c>
      <c r="I12" s="10">
        <f t="shared" si="2"/>
        <v>0.15705745262944573</v>
      </c>
      <c r="K12" s="3"/>
    </row>
    <row r="13" spans="1:11" x14ac:dyDescent="0.35">
      <c r="A13" t="s">
        <v>16</v>
      </c>
      <c r="B13" s="3">
        <v>11611</v>
      </c>
      <c r="C13" s="3">
        <v>12782</v>
      </c>
      <c r="D13" s="3">
        <v>24392</v>
      </c>
      <c r="E13" s="3">
        <v>149542</v>
      </c>
      <c r="G13" s="10">
        <f t="shared" si="0"/>
        <v>7.7643738882721913E-2</v>
      </c>
      <c r="H13" s="10">
        <f t="shared" si="1"/>
        <v>8.5474314908186327E-2</v>
      </c>
      <c r="I13" s="10">
        <f t="shared" si="2"/>
        <v>0.16311136670634338</v>
      </c>
      <c r="K13" s="3"/>
    </row>
    <row r="14" spans="1:11" x14ac:dyDescent="0.35">
      <c r="A14" t="s">
        <v>567</v>
      </c>
      <c r="B14" s="3">
        <v>121137</v>
      </c>
      <c r="C14" s="3">
        <v>139422</v>
      </c>
      <c r="D14" s="3">
        <v>260565</v>
      </c>
      <c r="E14" s="3">
        <v>1547582</v>
      </c>
      <c r="G14" s="10">
        <f t="shared" si="0"/>
        <v>7.8275012244908515E-2</v>
      </c>
      <c r="H14" s="10">
        <f t="shared" si="1"/>
        <v>9.0090218159683946E-2</v>
      </c>
      <c r="I14" s="10">
        <f t="shared" si="2"/>
        <v>0.16836910742047917</v>
      </c>
      <c r="K14" s="3"/>
    </row>
    <row r="15" spans="1:11" x14ac:dyDescent="0.35">
      <c r="A15" t="s">
        <v>568</v>
      </c>
      <c r="B15" s="3">
        <v>302608</v>
      </c>
      <c r="C15" s="3">
        <v>449387</v>
      </c>
      <c r="D15" s="3">
        <v>752000</v>
      </c>
      <c r="E15" s="3">
        <v>4485210</v>
      </c>
      <c r="G15" s="10">
        <f t="shared" si="0"/>
        <v>6.7467966940232452E-2</v>
      </c>
      <c r="H15" s="10">
        <f t="shared" si="1"/>
        <v>0.10019307903085921</v>
      </c>
      <c r="I15" s="10">
        <f t="shared" si="2"/>
        <v>0.16766216074609661</v>
      </c>
      <c r="K15" s="3"/>
    </row>
    <row r="16" spans="1:11" x14ac:dyDescent="0.35">
      <c r="A16" t="s">
        <v>569</v>
      </c>
      <c r="B16" s="3">
        <v>105699</v>
      </c>
      <c r="C16" s="3">
        <v>112795</v>
      </c>
      <c r="D16" s="3">
        <v>218493</v>
      </c>
      <c r="E16" s="3">
        <v>1433818</v>
      </c>
      <c r="G16" s="10">
        <f t="shared" si="0"/>
        <v>7.371856121209247E-2</v>
      </c>
      <c r="H16" s="10">
        <f t="shared" si="1"/>
        <v>7.8667585425765338E-2</v>
      </c>
      <c r="I16" s="10">
        <f t="shared" si="2"/>
        <v>0.15238544919927074</v>
      </c>
      <c r="K16" s="3"/>
    </row>
    <row r="17" spans="1:11" ht="15" x14ac:dyDescent="0.4">
      <c r="A17" t="s">
        <v>637</v>
      </c>
      <c r="B17" s="11">
        <v>308</v>
      </c>
      <c r="C17" s="11">
        <v>421</v>
      </c>
      <c r="D17" s="11">
        <f>B17+C17</f>
        <v>729</v>
      </c>
      <c r="E17" s="3">
        <v>3799</v>
      </c>
      <c r="G17" s="10">
        <f t="shared" ref="G17" si="3">B17/E17</f>
        <v>8.1073966833377198E-2</v>
      </c>
      <c r="H17" s="10">
        <f t="shared" ref="H17" si="4">C17/E17</f>
        <v>0.11081863648328508</v>
      </c>
      <c r="I17" s="10">
        <f t="shared" ref="I17" si="5">D17/E17</f>
        <v>0.19189260331666227</v>
      </c>
      <c r="K17" s="3"/>
    </row>
    <row r="18" spans="1:11" x14ac:dyDescent="0.35">
      <c r="K18" s="3"/>
    </row>
    <row r="19" spans="1:11" x14ac:dyDescent="0.35">
      <c r="A19" s="4" t="s">
        <v>566</v>
      </c>
      <c r="C19" s="9" t="s">
        <v>761</v>
      </c>
      <c r="K19" s="3"/>
    </row>
    <row r="20" spans="1:11" x14ac:dyDescent="0.35">
      <c r="B20" s="2" t="s">
        <v>6</v>
      </c>
      <c r="C20" t="s">
        <v>4</v>
      </c>
      <c r="D20" t="s">
        <v>570</v>
      </c>
      <c r="E20" t="s">
        <v>571</v>
      </c>
      <c r="K20" s="3"/>
    </row>
    <row r="21" spans="1:11" x14ac:dyDescent="0.35">
      <c r="A21" t="s">
        <v>7</v>
      </c>
      <c r="B21">
        <v>15754</v>
      </c>
      <c r="C21">
        <v>17471</v>
      </c>
      <c r="D21">
        <f>B21+C21</f>
        <v>33225</v>
      </c>
      <c r="E21">
        <v>185387</v>
      </c>
      <c r="F21" s="10">
        <f>D21/E21</f>
        <v>0.17921968638577679</v>
      </c>
      <c r="K21" s="3"/>
    </row>
    <row r="22" spans="1:11" x14ac:dyDescent="0.35">
      <c r="A22" t="s">
        <v>637</v>
      </c>
      <c r="B22">
        <v>3340</v>
      </c>
      <c r="C22">
        <v>3772</v>
      </c>
      <c r="D22">
        <f t="shared" ref="D22:D31" si="6">B22+C22</f>
        <v>7112</v>
      </c>
      <c r="E22">
        <v>37667</v>
      </c>
      <c r="F22" s="10">
        <f>D22/E22</f>
        <v>0.18881248838505854</v>
      </c>
      <c r="I22" s="1"/>
      <c r="K22" s="3"/>
    </row>
    <row r="23" spans="1:11" x14ac:dyDescent="0.35">
      <c r="A23" t="s">
        <v>8</v>
      </c>
      <c r="B23">
        <v>40459</v>
      </c>
      <c r="C23" s="37">
        <v>44362</v>
      </c>
      <c r="D23">
        <f t="shared" si="6"/>
        <v>84821</v>
      </c>
      <c r="E23">
        <v>476478</v>
      </c>
      <c r="F23" s="10">
        <f t="shared" ref="F23:F32" si="7">D23/E23</f>
        <v>0.17801661356872719</v>
      </c>
      <c r="K23" s="3"/>
    </row>
    <row r="24" spans="1:11" x14ac:dyDescent="0.35">
      <c r="A24" t="s">
        <v>9</v>
      </c>
      <c r="B24" s="37">
        <v>27811</v>
      </c>
      <c r="C24">
        <v>31565</v>
      </c>
      <c r="D24">
        <f t="shared" si="6"/>
        <v>59376</v>
      </c>
      <c r="E24">
        <v>345942</v>
      </c>
      <c r="F24" s="10">
        <f t="shared" si="7"/>
        <v>0.17163570771979117</v>
      </c>
      <c r="I24" s="3"/>
      <c r="J24" s="3"/>
      <c r="K24" s="3"/>
    </row>
    <row r="25" spans="1:11" x14ac:dyDescent="0.35">
      <c r="A25" t="s">
        <v>10</v>
      </c>
      <c r="B25">
        <v>25773</v>
      </c>
      <c r="C25">
        <v>29599</v>
      </c>
      <c r="D25">
        <f t="shared" si="6"/>
        <v>55372</v>
      </c>
      <c r="E25">
        <v>327245</v>
      </c>
      <c r="F25" s="10">
        <f t="shared" si="7"/>
        <v>0.16920655777781174</v>
      </c>
      <c r="I25" s="3"/>
      <c r="J25" s="3"/>
      <c r="K25" s="3"/>
    </row>
    <row r="26" spans="1:11" x14ac:dyDescent="0.35">
      <c r="A26" t="s">
        <v>11</v>
      </c>
      <c r="B26" s="37">
        <v>7733</v>
      </c>
      <c r="C26">
        <v>7556</v>
      </c>
      <c r="D26">
        <f t="shared" si="6"/>
        <v>15289</v>
      </c>
      <c r="E26">
        <v>91830</v>
      </c>
      <c r="F26" s="10">
        <f t="shared" si="7"/>
        <v>0.16649243166721114</v>
      </c>
      <c r="J26" s="3"/>
      <c r="K26" s="3"/>
    </row>
    <row r="27" spans="1:11" x14ac:dyDescent="0.35">
      <c r="A27" t="s">
        <v>12</v>
      </c>
      <c r="B27" s="3">
        <v>11328</v>
      </c>
      <c r="C27" s="3">
        <v>11756</v>
      </c>
      <c r="D27">
        <f t="shared" si="6"/>
        <v>23084</v>
      </c>
      <c r="E27" s="3">
        <v>160862</v>
      </c>
      <c r="F27" s="10">
        <f t="shared" si="7"/>
        <v>0.14350188360209373</v>
      </c>
    </row>
    <row r="28" spans="1:11" x14ac:dyDescent="0.35">
      <c r="A28" t="s">
        <v>13</v>
      </c>
      <c r="B28">
        <v>5853</v>
      </c>
      <c r="C28" s="37">
        <v>6171</v>
      </c>
      <c r="D28">
        <f t="shared" si="6"/>
        <v>12024</v>
      </c>
      <c r="E28">
        <v>70391</v>
      </c>
      <c r="F28" s="10">
        <f t="shared" si="7"/>
        <v>0.17081729198335013</v>
      </c>
      <c r="I28" s="3"/>
      <c r="J28" s="3"/>
      <c r="K28" s="3"/>
    </row>
    <row r="29" spans="1:11" x14ac:dyDescent="0.35">
      <c r="A29" t="s">
        <v>14</v>
      </c>
      <c r="B29">
        <v>26177</v>
      </c>
      <c r="C29">
        <v>31761</v>
      </c>
      <c r="D29">
        <f t="shared" si="6"/>
        <v>57938</v>
      </c>
      <c r="E29">
        <v>352873</v>
      </c>
      <c r="F29" s="10">
        <f t="shared" si="7"/>
        <v>0.16418938258240218</v>
      </c>
    </row>
    <row r="30" spans="1:11" x14ac:dyDescent="0.35">
      <c r="A30" t="s">
        <v>15</v>
      </c>
      <c r="B30">
        <v>34926</v>
      </c>
      <c r="C30">
        <v>39344</v>
      </c>
      <c r="D30">
        <f t="shared" si="6"/>
        <v>74270</v>
      </c>
      <c r="E30">
        <v>434742</v>
      </c>
      <c r="F30" s="10">
        <f t="shared" si="7"/>
        <v>0.17083695617170644</v>
      </c>
    </row>
    <row r="31" spans="1:11" x14ac:dyDescent="0.35">
      <c r="A31" t="s">
        <v>16</v>
      </c>
      <c r="B31" s="3">
        <v>12002</v>
      </c>
      <c r="C31" s="3">
        <v>13731</v>
      </c>
      <c r="D31">
        <f t="shared" si="6"/>
        <v>25733</v>
      </c>
      <c r="E31" s="3">
        <v>178150</v>
      </c>
      <c r="F31" s="10">
        <f t="shared" si="7"/>
        <v>0.14444569183272524</v>
      </c>
    </row>
    <row r="32" spans="1:11" x14ac:dyDescent="0.35">
      <c r="A32" t="s">
        <v>567</v>
      </c>
      <c r="B32">
        <f>SUM(B21,B23:B31)</f>
        <v>207816</v>
      </c>
      <c r="C32">
        <f t="shared" ref="C32:E32" si="8">SUM(C21,C23:C31)</f>
        <v>233316</v>
      </c>
      <c r="D32">
        <f t="shared" si="8"/>
        <v>441132</v>
      </c>
      <c r="E32">
        <f t="shared" si="8"/>
        <v>2623900</v>
      </c>
      <c r="F32" s="10">
        <f t="shared" si="7"/>
        <v>0.16812073630854835</v>
      </c>
    </row>
  </sheetData>
  <hyperlinks>
    <hyperlink ref="C1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workbookViewId="0">
      <selection activeCell="O16" sqref="O16"/>
    </sheetView>
  </sheetViews>
  <sheetFormatPr defaultRowHeight="14.5" x14ac:dyDescent="0.35"/>
  <sheetData>
    <row r="3" spans="1:13" x14ac:dyDescent="0.35">
      <c r="B3" t="s">
        <v>17</v>
      </c>
      <c r="E3" t="s">
        <v>18</v>
      </c>
      <c r="J3" s="2" t="s">
        <v>6</v>
      </c>
      <c r="L3" t="s">
        <v>4</v>
      </c>
    </row>
    <row r="4" spans="1:13" x14ac:dyDescent="0.35">
      <c r="B4" s="2" t="s">
        <v>6</v>
      </c>
      <c r="C4" t="s">
        <v>4</v>
      </c>
      <c r="D4" t="s">
        <v>5</v>
      </c>
      <c r="E4" s="2" t="s">
        <v>6</v>
      </c>
      <c r="F4" t="s">
        <v>4</v>
      </c>
      <c r="G4" t="s">
        <v>5</v>
      </c>
      <c r="H4" s="2" t="s">
        <v>576</v>
      </c>
      <c r="I4" t="s">
        <v>577</v>
      </c>
      <c r="J4" t="s">
        <v>17</v>
      </c>
      <c r="K4" t="s">
        <v>18</v>
      </c>
      <c r="L4" t="s">
        <v>17</v>
      </c>
      <c r="M4" t="s">
        <v>18</v>
      </c>
    </row>
    <row r="5" spans="1:13" x14ac:dyDescent="0.35">
      <c r="A5" t="s">
        <v>7</v>
      </c>
      <c r="B5" s="3">
        <v>3944</v>
      </c>
      <c r="C5" s="3">
        <v>4163</v>
      </c>
      <c r="D5" s="3">
        <v>8106</v>
      </c>
      <c r="E5" s="3">
        <v>3735</v>
      </c>
      <c r="F5" s="3">
        <v>4150</v>
      </c>
      <c r="G5" s="3">
        <v>7884</v>
      </c>
      <c r="H5" s="3">
        <f>B5+E5</f>
        <v>7679</v>
      </c>
      <c r="I5" s="3">
        <f>C5+F5</f>
        <v>8313</v>
      </c>
      <c r="J5" s="10">
        <f>B5/H5</f>
        <v>0.51360854277900769</v>
      </c>
      <c r="K5" s="10">
        <f>E5/H5</f>
        <v>0.48639145722099231</v>
      </c>
      <c r="L5" s="10">
        <f>C5/I5</f>
        <v>0.50078190785516663</v>
      </c>
      <c r="M5" s="10">
        <f>F5/I5</f>
        <v>0.49921809214483337</v>
      </c>
    </row>
    <row r="6" spans="1:13" x14ac:dyDescent="0.35">
      <c r="A6" t="s">
        <v>8</v>
      </c>
      <c r="B6" s="3">
        <v>12744</v>
      </c>
      <c r="C6" s="3">
        <v>15105</v>
      </c>
      <c r="D6" s="3">
        <v>27846</v>
      </c>
      <c r="E6" s="3">
        <v>12019</v>
      </c>
      <c r="F6" s="3">
        <v>13961</v>
      </c>
      <c r="G6" s="3">
        <v>25982</v>
      </c>
      <c r="H6" s="3">
        <f t="shared" ref="H6:H14" si="0">B6+E6</f>
        <v>24763</v>
      </c>
      <c r="I6" s="3">
        <f t="shared" ref="I6:I14" si="1">C6+F6</f>
        <v>29066</v>
      </c>
      <c r="J6" s="10">
        <f t="shared" ref="J6:J14" si="2">B6/H6</f>
        <v>0.51463877559261806</v>
      </c>
      <c r="K6" s="10">
        <f t="shared" ref="K6:K14" si="3">E6/H6</f>
        <v>0.485361224407382</v>
      </c>
      <c r="L6" s="10">
        <f t="shared" ref="L6:L14" si="4">C6/I6</f>
        <v>0.51967935044381752</v>
      </c>
      <c r="M6" s="10">
        <f t="shared" ref="M6:M14" si="5">F6/I6</f>
        <v>0.48032064955618248</v>
      </c>
    </row>
    <row r="7" spans="1:13" x14ac:dyDescent="0.35">
      <c r="A7" t="s">
        <v>9</v>
      </c>
      <c r="B7" s="3">
        <v>8248</v>
      </c>
      <c r="C7" s="3">
        <v>10419</v>
      </c>
      <c r="D7" s="3">
        <v>18667</v>
      </c>
      <c r="E7" s="3">
        <v>8087</v>
      </c>
      <c r="F7" s="3">
        <v>9865</v>
      </c>
      <c r="G7" s="3">
        <v>17954</v>
      </c>
      <c r="H7" s="3">
        <f t="shared" si="0"/>
        <v>16335</v>
      </c>
      <c r="I7" s="3">
        <f t="shared" si="1"/>
        <v>20284</v>
      </c>
      <c r="J7" s="10">
        <f t="shared" si="2"/>
        <v>0.50492806856443218</v>
      </c>
      <c r="K7" s="10">
        <f t="shared" si="3"/>
        <v>0.49507193143556782</v>
      </c>
      <c r="L7" s="10">
        <f t="shared" si="4"/>
        <v>0.51365608361269965</v>
      </c>
      <c r="M7" s="10">
        <f t="shared" si="5"/>
        <v>0.48634391638730035</v>
      </c>
    </row>
    <row r="8" spans="1:13" x14ac:dyDescent="0.35">
      <c r="A8" t="s">
        <v>10</v>
      </c>
      <c r="B8" s="3">
        <v>5779</v>
      </c>
      <c r="C8" s="3">
        <v>6116</v>
      </c>
      <c r="D8" s="3">
        <v>11897</v>
      </c>
      <c r="E8" s="3">
        <v>5473</v>
      </c>
      <c r="F8" s="3">
        <v>5971</v>
      </c>
      <c r="G8" s="3">
        <v>11441</v>
      </c>
      <c r="H8" s="3">
        <f t="shared" si="0"/>
        <v>11252</v>
      </c>
      <c r="I8" s="3">
        <f t="shared" si="1"/>
        <v>12087</v>
      </c>
      <c r="J8" s="10">
        <f t="shared" si="2"/>
        <v>0.51359758265197297</v>
      </c>
      <c r="K8" s="10">
        <f t="shared" si="3"/>
        <v>0.48640241734802703</v>
      </c>
      <c r="L8" s="10">
        <f t="shared" si="4"/>
        <v>0.50599817986266238</v>
      </c>
      <c r="M8" s="10">
        <f t="shared" si="5"/>
        <v>0.49400182013733762</v>
      </c>
    </row>
    <row r="9" spans="1:13" x14ac:dyDescent="0.35">
      <c r="A9" t="s">
        <v>11</v>
      </c>
      <c r="B9" s="3">
        <v>1775</v>
      </c>
      <c r="C9" s="3">
        <v>1910</v>
      </c>
      <c r="D9" s="3">
        <v>3693</v>
      </c>
      <c r="E9" s="3">
        <v>1646</v>
      </c>
      <c r="F9" s="3">
        <v>1654</v>
      </c>
      <c r="G9" s="3">
        <v>3301</v>
      </c>
      <c r="H9" s="3">
        <f t="shared" si="0"/>
        <v>3421</v>
      </c>
      <c r="I9" s="3">
        <f t="shared" si="1"/>
        <v>3564</v>
      </c>
      <c r="J9" s="10">
        <f t="shared" si="2"/>
        <v>0.51885413621748022</v>
      </c>
      <c r="K9" s="10">
        <f t="shared" si="3"/>
        <v>0.48114586378251972</v>
      </c>
      <c r="L9" s="10">
        <f t="shared" si="4"/>
        <v>0.5359147025813692</v>
      </c>
      <c r="M9" s="10">
        <f t="shared" si="5"/>
        <v>0.46408529741863075</v>
      </c>
    </row>
    <row r="10" spans="1:13" x14ac:dyDescent="0.35">
      <c r="A10" t="s">
        <v>12</v>
      </c>
      <c r="B10" s="3">
        <v>5643</v>
      </c>
      <c r="C10" s="3">
        <v>5810</v>
      </c>
      <c r="D10" s="3">
        <v>11456</v>
      </c>
      <c r="E10" s="3">
        <v>5303</v>
      </c>
      <c r="F10" s="3">
        <v>5032</v>
      </c>
      <c r="G10" s="3">
        <v>10330</v>
      </c>
      <c r="H10" s="3">
        <f t="shared" si="0"/>
        <v>10946</v>
      </c>
      <c r="I10" s="3">
        <f t="shared" si="1"/>
        <v>10842</v>
      </c>
      <c r="J10" s="10">
        <f t="shared" si="2"/>
        <v>0.51553078750228398</v>
      </c>
      <c r="K10" s="10">
        <f t="shared" si="3"/>
        <v>0.48446921249771607</v>
      </c>
      <c r="L10" s="10">
        <f t="shared" si="4"/>
        <v>0.5358789891163992</v>
      </c>
      <c r="M10" s="10">
        <f t="shared" si="5"/>
        <v>0.4641210108836008</v>
      </c>
    </row>
    <row r="11" spans="1:13" x14ac:dyDescent="0.35">
      <c r="A11" t="s">
        <v>13</v>
      </c>
      <c r="B11" s="3">
        <v>2875</v>
      </c>
      <c r="C11" s="3">
        <v>3018</v>
      </c>
      <c r="D11" s="3">
        <v>5897</v>
      </c>
      <c r="E11" s="3">
        <v>2676</v>
      </c>
      <c r="F11" s="3">
        <v>2766</v>
      </c>
      <c r="G11" s="3">
        <v>5439</v>
      </c>
      <c r="H11" s="3">
        <f t="shared" si="0"/>
        <v>5551</v>
      </c>
      <c r="I11" s="3">
        <f t="shared" si="1"/>
        <v>5784</v>
      </c>
      <c r="J11" s="10">
        <f t="shared" si="2"/>
        <v>0.51792469825256715</v>
      </c>
      <c r="K11" s="10">
        <f t="shared" si="3"/>
        <v>0.4820753017474329</v>
      </c>
      <c r="L11" s="10">
        <f t="shared" si="4"/>
        <v>0.52178423236514526</v>
      </c>
      <c r="M11" s="10">
        <f t="shared" si="5"/>
        <v>0.47821576763485479</v>
      </c>
    </row>
    <row r="12" spans="1:13" x14ac:dyDescent="0.35">
      <c r="A12" t="s">
        <v>14</v>
      </c>
      <c r="B12" s="3">
        <v>7155</v>
      </c>
      <c r="C12" s="3">
        <v>9309</v>
      </c>
      <c r="D12" s="3">
        <v>16458</v>
      </c>
      <c r="E12" s="3">
        <v>6670</v>
      </c>
      <c r="F12" s="3">
        <v>9061</v>
      </c>
      <c r="G12" s="3">
        <v>15735</v>
      </c>
      <c r="H12" s="3">
        <f t="shared" si="0"/>
        <v>13825</v>
      </c>
      <c r="I12" s="3">
        <f t="shared" si="1"/>
        <v>18370</v>
      </c>
      <c r="J12" s="10">
        <f t="shared" si="2"/>
        <v>0.51754068716094037</v>
      </c>
      <c r="K12" s="10">
        <f t="shared" si="3"/>
        <v>0.48245931283905968</v>
      </c>
      <c r="L12" s="10">
        <f t="shared" si="4"/>
        <v>0.50675013609145347</v>
      </c>
      <c r="M12" s="10">
        <f t="shared" si="5"/>
        <v>0.49324986390854653</v>
      </c>
    </row>
    <row r="13" spans="1:13" x14ac:dyDescent="0.35">
      <c r="A13" t="s">
        <v>15</v>
      </c>
      <c r="B13" s="3">
        <v>7981</v>
      </c>
      <c r="C13" s="3">
        <v>9528</v>
      </c>
      <c r="D13" s="3">
        <v>17514</v>
      </c>
      <c r="E13" s="3">
        <v>7775</v>
      </c>
      <c r="F13" s="3">
        <v>8805</v>
      </c>
      <c r="G13" s="3">
        <v>16581</v>
      </c>
      <c r="H13" s="3">
        <f t="shared" si="0"/>
        <v>15756</v>
      </c>
      <c r="I13" s="3">
        <f t="shared" si="1"/>
        <v>18333</v>
      </c>
      <c r="J13" s="10">
        <f t="shared" si="2"/>
        <v>0.50653719218075655</v>
      </c>
      <c r="K13" s="10">
        <f t="shared" si="3"/>
        <v>0.49346280781924345</v>
      </c>
      <c r="L13" s="10">
        <f t="shared" si="4"/>
        <v>0.51971854033709708</v>
      </c>
      <c r="M13" s="10">
        <f t="shared" si="5"/>
        <v>0.48028145966290298</v>
      </c>
    </row>
    <row r="14" spans="1:13" x14ac:dyDescent="0.35">
      <c r="A14" t="s">
        <v>16</v>
      </c>
      <c r="B14" s="3">
        <v>5856</v>
      </c>
      <c r="C14" s="3">
        <v>6634</v>
      </c>
      <c r="D14" s="3">
        <v>12489</v>
      </c>
      <c r="E14" s="3">
        <v>5756</v>
      </c>
      <c r="F14" s="3">
        <v>6150</v>
      </c>
      <c r="G14" s="3">
        <v>11905</v>
      </c>
      <c r="H14" s="3">
        <f t="shared" si="0"/>
        <v>11612</v>
      </c>
      <c r="I14" s="3">
        <f t="shared" si="1"/>
        <v>12784</v>
      </c>
      <c r="J14" s="10">
        <f t="shared" si="2"/>
        <v>0.50430589045814678</v>
      </c>
      <c r="K14" s="10">
        <f t="shared" si="3"/>
        <v>0.49569410954185328</v>
      </c>
      <c r="L14" s="10">
        <f t="shared" si="4"/>
        <v>0.51892991239048814</v>
      </c>
      <c r="M14" s="10">
        <f t="shared" si="5"/>
        <v>0.48107008760951186</v>
      </c>
    </row>
    <row r="15" spans="1:13" ht="15" x14ac:dyDescent="0.4">
      <c r="A15" s="11" t="s">
        <v>567</v>
      </c>
      <c r="B15" s="3">
        <f>SUM(B5:B14)</f>
        <v>62000</v>
      </c>
      <c r="C15" s="3">
        <f t="shared" ref="C15:G15" si="6">SUM(C5:C14)</f>
        <v>72012</v>
      </c>
      <c r="D15" s="3">
        <f t="shared" si="6"/>
        <v>134023</v>
      </c>
      <c r="E15" s="3">
        <f t="shared" si="6"/>
        <v>59140</v>
      </c>
      <c r="F15" s="3">
        <f t="shared" si="6"/>
        <v>67415</v>
      </c>
      <c r="G15" s="3">
        <f t="shared" si="6"/>
        <v>126552</v>
      </c>
      <c r="H15" s="3">
        <f t="shared" ref="H15" si="7">B15+E15</f>
        <v>121140</v>
      </c>
      <c r="I15" s="3">
        <f t="shared" ref="I15" si="8">C15+F15</f>
        <v>139427</v>
      </c>
      <c r="J15" s="10">
        <f t="shared" ref="J15" si="9">B15/H15</f>
        <v>0.51180452369159646</v>
      </c>
      <c r="K15" s="10">
        <f t="shared" ref="K15" si="10">E15/H15</f>
        <v>0.48819547630840349</v>
      </c>
      <c r="L15" s="10">
        <f t="shared" ref="L15" si="11">C15/I15</f>
        <v>0.51648532924039103</v>
      </c>
      <c r="M15" s="10">
        <f t="shared" ref="M15" si="12">F15/I15</f>
        <v>0.48351467075960897</v>
      </c>
    </row>
    <row r="16" spans="1:13" x14ac:dyDescent="0.35">
      <c r="A16" t="s">
        <v>637</v>
      </c>
      <c r="B16" s="37">
        <v>160</v>
      </c>
      <c r="C16" s="37">
        <v>200</v>
      </c>
      <c r="D16">
        <f>B16+C16</f>
        <v>360</v>
      </c>
      <c r="E16" s="37">
        <v>132</v>
      </c>
      <c r="F16" s="37">
        <v>205</v>
      </c>
      <c r="G16">
        <f>E16+F16</f>
        <v>337</v>
      </c>
      <c r="H16" s="3">
        <f>B16+E16</f>
        <v>292</v>
      </c>
      <c r="I16" s="3">
        <f>C16+F16</f>
        <v>405</v>
      </c>
      <c r="J16" s="10">
        <f t="shared" ref="J16" si="13">B16/H16</f>
        <v>0.54794520547945202</v>
      </c>
      <c r="K16" s="10">
        <f t="shared" ref="K16" si="14">E16/H16</f>
        <v>0.45205479452054792</v>
      </c>
      <c r="L16" s="10">
        <f t="shared" ref="L16" si="15">C16/I16</f>
        <v>0.49382716049382713</v>
      </c>
      <c r="M16" s="10">
        <f t="shared" ref="M16" si="16">F16/I16</f>
        <v>0.50617283950617287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2"/>
  <sheetViews>
    <sheetView topLeftCell="A33" workbookViewId="0">
      <selection activeCell="AF46" sqref="AF46"/>
    </sheetView>
  </sheetViews>
  <sheetFormatPr defaultRowHeight="14.5" x14ac:dyDescent="0.35"/>
  <sheetData>
    <row r="2" spans="1:34" x14ac:dyDescent="0.35">
      <c r="A2" s="4" t="s">
        <v>30</v>
      </c>
    </row>
    <row r="3" spans="1:34" x14ac:dyDescent="0.35">
      <c r="B3" s="2" t="s">
        <v>6</v>
      </c>
      <c r="M3" t="s">
        <v>4</v>
      </c>
      <c r="X3" t="s">
        <v>5</v>
      </c>
    </row>
    <row r="4" spans="1:34" x14ac:dyDescent="0.35"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t="s">
        <v>29</v>
      </c>
      <c r="M4" t="s">
        <v>19</v>
      </c>
      <c r="N4" t="s">
        <v>20</v>
      </c>
      <c r="O4" t="s">
        <v>21</v>
      </c>
      <c r="P4" t="s">
        <v>22</v>
      </c>
      <c r="Q4" t="s">
        <v>23</v>
      </c>
      <c r="R4" t="s">
        <v>24</v>
      </c>
      <c r="S4" t="s">
        <v>25</v>
      </c>
      <c r="T4" t="s">
        <v>26</v>
      </c>
      <c r="U4" t="s">
        <v>27</v>
      </c>
      <c r="V4" t="s">
        <v>28</v>
      </c>
      <c r="W4" t="s">
        <v>29</v>
      </c>
      <c r="X4" t="s">
        <v>19</v>
      </c>
      <c r="Y4" t="s">
        <v>20</v>
      </c>
      <c r="Z4" t="s">
        <v>21</v>
      </c>
      <c r="AA4" t="s">
        <v>22</v>
      </c>
      <c r="AB4" t="s">
        <v>23</v>
      </c>
      <c r="AC4" t="s">
        <v>24</v>
      </c>
      <c r="AD4" t="s">
        <v>25</v>
      </c>
      <c r="AE4" t="s">
        <v>26</v>
      </c>
      <c r="AF4" t="s">
        <v>27</v>
      </c>
      <c r="AG4" t="s">
        <v>28</v>
      </c>
      <c r="AH4" t="s">
        <v>29</v>
      </c>
    </row>
    <row r="5" spans="1:34" x14ac:dyDescent="0.35">
      <c r="A5" t="s">
        <v>7</v>
      </c>
      <c r="B5">
        <v>0</v>
      </c>
      <c r="C5">
        <v>0</v>
      </c>
      <c r="D5">
        <v>0</v>
      </c>
      <c r="E5">
        <v>0</v>
      </c>
      <c r="F5">
        <v>69</v>
      </c>
      <c r="G5" s="3">
        <v>1917</v>
      </c>
      <c r="H5">
        <v>0</v>
      </c>
      <c r="I5" s="3">
        <v>1432</v>
      </c>
      <c r="J5">
        <v>11</v>
      </c>
      <c r="K5">
        <v>432</v>
      </c>
      <c r="L5" s="3">
        <v>3820</v>
      </c>
      <c r="M5">
        <v>23</v>
      </c>
      <c r="N5">
        <v>46</v>
      </c>
      <c r="O5">
        <v>435</v>
      </c>
      <c r="P5">
        <v>586</v>
      </c>
      <c r="Q5" s="3">
        <v>1745</v>
      </c>
      <c r="R5" s="3">
        <v>4441</v>
      </c>
      <c r="S5">
        <v>5</v>
      </c>
      <c r="T5">
        <v>224</v>
      </c>
      <c r="U5">
        <v>146</v>
      </c>
      <c r="V5">
        <v>657</v>
      </c>
      <c r="W5">
        <v>0</v>
      </c>
      <c r="X5">
        <v>23</v>
      </c>
      <c r="Y5">
        <v>49</v>
      </c>
      <c r="Z5">
        <v>435</v>
      </c>
      <c r="AA5">
        <v>588</v>
      </c>
      <c r="AB5" s="3">
        <v>1815</v>
      </c>
      <c r="AC5" s="3">
        <v>6353</v>
      </c>
      <c r="AD5">
        <v>7</v>
      </c>
      <c r="AE5" s="3">
        <v>1656</v>
      </c>
      <c r="AF5">
        <v>154</v>
      </c>
      <c r="AG5" s="3">
        <v>1089</v>
      </c>
      <c r="AH5" s="3">
        <v>3820</v>
      </c>
    </row>
    <row r="6" spans="1:34" x14ac:dyDescent="0.35">
      <c r="A6" t="s">
        <v>8</v>
      </c>
      <c r="B6">
        <v>0</v>
      </c>
      <c r="C6">
        <v>0</v>
      </c>
      <c r="D6">
        <v>0</v>
      </c>
      <c r="E6">
        <v>6</v>
      </c>
      <c r="F6">
        <v>185</v>
      </c>
      <c r="G6" s="3">
        <v>6936</v>
      </c>
      <c r="H6">
        <v>12</v>
      </c>
      <c r="I6" s="3">
        <v>4319</v>
      </c>
      <c r="J6">
        <v>49</v>
      </c>
      <c r="K6" s="3">
        <v>1047</v>
      </c>
      <c r="L6" s="3">
        <v>12200</v>
      </c>
      <c r="M6">
        <v>134</v>
      </c>
      <c r="N6">
        <v>136</v>
      </c>
      <c r="O6" s="3">
        <v>2189</v>
      </c>
      <c r="P6" s="3">
        <v>1970</v>
      </c>
      <c r="Q6" s="3">
        <v>4467</v>
      </c>
      <c r="R6" s="3">
        <v>16775</v>
      </c>
      <c r="S6">
        <v>35</v>
      </c>
      <c r="T6">
        <v>636</v>
      </c>
      <c r="U6">
        <v>659</v>
      </c>
      <c r="V6" s="3">
        <v>2078</v>
      </c>
      <c r="W6">
        <v>0</v>
      </c>
      <c r="X6">
        <v>134</v>
      </c>
      <c r="Y6">
        <v>136</v>
      </c>
      <c r="Z6" s="3">
        <v>2187</v>
      </c>
      <c r="AA6" s="3">
        <v>1978</v>
      </c>
      <c r="AB6" s="3">
        <v>4657</v>
      </c>
      <c r="AC6" s="3">
        <v>23706</v>
      </c>
      <c r="AD6">
        <v>43</v>
      </c>
      <c r="AE6" s="3">
        <v>4956</v>
      </c>
      <c r="AF6">
        <v>707</v>
      </c>
      <c r="AG6" s="3">
        <v>3130</v>
      </c>
      <c r="AH6" s="3">
        <v>12200</v>
      </c>
    </row>
    <row r="7" spans="1:34" x14ac:dyDescent="0.35">
      <c r="A7" t="s">
        <v>9</v>
      </c>
      <c r="B7">
        <v>0</v>
      </c>
      <c r="C7">
        <v>0</v>
      </c>
      <c r="D7">
        <v>0</v>
      </c>
      <c r="E7">
        <v>3</v>
      </c>
      <c r="F7">
        <v>113</v>
      </c>
      <c r="G7" s="3">
        <v>4816</v>
      </c>
      <c r="H7">
        <v>0</v>
      </c>
      <c r="I7" s="3">
        <v>2481</v>
      </c>
      <c r="J7">
        <v>29</v>
      </c>
      <c r="K7">
        <v>854</v>
      </c>
      <c r="L7" s="3">
        <v>8036</v>
      </c>
      <c r="M7">
        <v>123</v>
      </c>
      <c r="N7">
        <v>102</v>
      </c>
      <c r="O7" s="3">
        <v>1669</v>
      </c>
      <c r="P7" s="3">
        <v>1414</v>
      </c>
      <c r="Q7" s="3">
        <v>2714</v>
      </c>
      <c r="R7" s="3">
        <v>11628</v>
      </c>
      <c r="S7">
        <v>18</v>
      </c>
      <c r="T7">
        <v>581</v>
      </c>
      <c r="U7">
        <v>461</v>
      </c>
      <c r="V7" s="3">
        <v>1575</v>
      </c>
      <c r="W7">
        <v>0</v>
      </c>
      <c r="X7">
        <v>123</v>
      </c>
      <c r="Y7">
        <v>101</v>
      </c>
      <c r="Z7" s="3">
        <v>1675</v>
      </c>
      <c r="AA7" s="3">
        <v>1419</v>
      </c>
      <c r="AB7" s="3">
        <v>2830</v>
      </c>
      <c r="AC7" s="3">
        <v>16438</v>
      </c>
      <c r="AD7">
        <v>21</v>
      </c>
      <c r="AE7" s="3">
        <v>3063</v>
      </c>
      <c r="AF7">
        <v>485</v>
      </c>
      <c r="AG7" s="3">
        <v>2430</v>
      </c>
      <c r="AH7" s="3">
        <v>8036</v>
      </c>
    </row>
    <row r="8" spans="1:34" x14ac:dyDescent="0.35">
      <c r="A8" t="s">
        <v>10</v>
      </c>
      <c r="B8">
        <v>0</v>
      </c>
      <c r="C8">
        <v>0</v>
      </c>
      <c r="D8">
        <v>0</v>
      </c>
      <c r="E8">
        <v>5</v>
      </c>
      <c r="F8">
        <v>108</v>
      </c>
      <c r="G8" s="3">
        <v>3135</v>
      </c>
      <c r="H8">
        <v>5</v>
      </c>
      <c r="I8" s="3">
        <v>1640</v>
      </c>
      <c r="J8">
        <v>13</v>
      </c>
      <c r="K8">
        <v>522</v>
      </c>
      <c r="L8" s="3">
        <v>5832</v>
      </c>
      <c r="M8">
        <v>75</v>
      </c>
      <c r="N8">
        <v>59</v>
      </c>
      <c r="O8">
        <v>859</v>
      </c>
      <c r="P8">
        <v>823</v>
      </c>
      <c r="Q8" s="3">
        <v>1937</v>
      </c>
      <c r="R8" s="3">
        <v>6587</v>
      </c>
      <c r="S8">
        <v>19</v>
      </c>
      <c r="T8">
        <v>264</v>
      </c>
      <c r="U8">
        <v>260</v>
      </c>
      <c r="V8" s="3">
        <v>1203</v>
      </c>
      <c r="W8">
        <v>0</v>
      </c>
      <c r="X8">
        <v>75</v>
      </c>
      <c r="Y8">
        <v>59</v>
      </c>
      <c r="Z8">
        <v>863</v>
      </c>
      <c r="AA8">
        <v>825</v>
      </c>
      <c r="AB8" s="3">
        <v>2041</v>
      </c>
      <c r="AC8" s="3">
        <v>9722</v>
      </c>
      <c r="AD8">
        <v>22</v>
      </c>
      <c r="AE8" s="3">
        <v>1900</v>
      </c>
      <c r="AF8">
        <v>279</v>
      </c>
      <c r="AG8" s="3">
        <v>1729</v>
      </c>
      <c r="AH8" s="3">
        <v>5832</v>
      </c>
    </row>
    <row r="9" spans="1:34" x14ac:dyDescent="0.35">
      <c r="A9" t="s">
        <v>11</v>
      </c>
      <c r="B9">
        <v>0</v>
      </c>
      <c r="C9">
        <v>0</v>
      </c>
      <c r="D9">
        <v>0</v>
      </c>
      <c r="E9">
        <v>0</v>
      </c>
      <c r="F9">
        <v>28</v>
      </c>
      <c r="G9">
        <v>854</v>
      </c>
      <c r="H9">
        <v>0</v>
      </c>
      <c r="I9">
        <v>591</v>
      </c>
      <c r="J9">
        <v>12</v>
      </c>
      <c r="K9">
        <v>321</v>
      </c>
      <c r="L9" s="3">
        <v>1619</v>
      </c>
      <c r="M9">
        <v>13</v>
      </c>
      <c r="N9">
        <v>10</v>
      </c>
      <c r="O9">
        <v>148</v>
      </c>
      <c r="P9">
        <v>197</v>
      </c>
      <c r="Q9">
        <v>683</v>
      </c>
      <c r="R9" s="3">
        <v>1954</v>
      </c>
      <c r="S9">
        <v>6</v>
      </c>
      <c r="T9">
        <v>104</v>
      </c>
      <c r="U9">
        <v>84</v>
      </c>
      <c r="V9">
        <v>355</v>
      </c>
      <c r="W9">
        <v>0</v>
      </c>
      <c r="X9">
        <v>13</v>
      </c>
      <c r="Y9">
        <v>10</v>
      </c>
      <c r="Z9">
        <v>149</v>
      </c>
      <c r="AA9">
        <v>197</v>
      </c>
      <c r="AB9">
        <v>714</v>
      </c>
      <c r="AC9" s="3">
        <v>2807</v>
      </c>
      <c r="AD9">
        <v>6</v>
      </c>
      <c r="AE9">
        <v>696</v>
      </c>
      <c r="AF9">
        <v>95</v>
      </c>
      <c r="AG9">
        <v>679</v>
      </c>
      <c r="AH9" s="3">
        <v>1619</v>
      </c>
    </row>
    <row r="10" spans="1:34" x14ac:dyDescent="0.35">
      <c r="A10" t="s">
        <v>12</v>
      </c>
      <c r="B10">
        <v>0</v>
      </c>
      <c r="C10">
        <v>0</v>
      </c>
      <c r="D10">
        <v>0</v>
      </c>
      <c r="E10">
        <v>3</v>
      </c>
      <c r="F10">
        <v>84</v>
      </c>
      <c r="G10" s="3">
        <v>2819</v>
      </c>
      <c r="H10">
        <v>5</v>
      </c>
      <c r="I10" s="3">
        <v>2021</v>
      </c>
      <c r="J10">
        <v>17</v>
      </c>
      <c r="K10">
        <v>565</v>
      </c>
      <c r="L10" s="3">
        <v>5433</v>
      </c>
      <c r="M10">
        <v>34</v>
      </c>
      <c r="N10">
        <v>40</v>
      </c>
      <c r="O10">
        <v>587</v>
      </c>
      <c r="P10">
        <v>648</v>
      </c>
      <c r="Q10" s="3">
        <v>1902</v>
      </c>
      <c r="R10" s="3">
        <v>6399</v>
      </c>
      <c r="S10">
        <v>3</v>
      </c>
      <c r="T10">
        <v>223</v>
      </c>
      <c r="U10">
        <v>212</v>
      </c>
      <c r="V10">
        <v>786</v>
      </c>
      <c r="W10">
        <v>0</v>
      </c>
      <c r="X10">
        <v>34</v>
      </c>
      <c r="Y10">
        <v>40</v>
      </c>
      <c r="Z10">
        <v>587</v>
      </c>
      <c r="AA10">
        <v>654</v>
      </c>
      <c r="AB10" s="3">
        <v>1987</v>
      </c>
      <c r="AC10" s="3">
        <v>9211</v>
      </c>
      <c r="AD10">
        <v>9</v>
      </c>
      <c r="AE10" s="3">
        <v>2246</v>
      </c>
      <c r="AF10">
        <v>231</v>
      </c>
      <c r="AG10" s="3">
        <v>1346</v>
      </c>
      <c r="AH10" s="3">
        <v>5433</v>
      </c>
    </row>
    <row r="11" spans="1:34" x14ac:dyDescent="0.35">
      <c r="A11" t="s">
        <v>13</v>
      </c>
      <c r="B11">
        <v>0</v>
      </c>
      <c r="C11">
        <v>0</v>
      </c>
      <c r="D11">
        <v>0</v>
      </c>
      <c r="E11">
        <v>0</v>
      </c>
      <c r="F11">
        <v>23</v>
      </c>
      <c r="G11" s="3">
        <v>1414</v>
      </c>
      <c r="H11">
        <v>3</v>
      </c>
      <c r="I11" s="3">
        <v>1115</v>
      </c>
      <c r="J11">
        <v>8</v>
      </c>
      <c r="K11">
        <v>212</v>
      </c>
      <c r="L11" s="3">
        <v>2781</v>
      </c>
      <c r="M11">
        <v>40</v>
      </c>
      <c r="N11">
        <v>26</v>
      </c>
      <c r="O11">
        <v>634</v>
      </c>
      <c r="P11">
        <v>364</v>
      </c>
      <c r="Q11">
        <v>750</v>
      </c>
      <c r="R11" s="3">
        <v>3600</v>
      </c>
      <c r="S11">
        <v>0</v>
      </c>
      <c r="T11">
        <v>38</v>
      </c>
      <c r="U11">
        <v>67</v>
      </c>
      <c r="V11">
        <v>265</v>
      </c>
      <c r="W11">
        <v>0</v>
      </c>
      <c r="X11">
        <v>40</v>
      </c>
      <c r="Y11">
        <v>26</v>
      </c>
      <c r="Z11">
        <v>634</v>
      </c>
      <c r="AA11">
        <v>360</v>
      </c>
      <c r="AB11">
        <v>779</v>
      </c>
      <c r="AC11" s="3">
        <v>5013</v>
      </c>
      <c r="AD11">
        <v>0</v>
      </c>
      <c r="AE11" s="3">
        <v>1155</v>
      </c>
      <c r="AF11">
        <v>77</v>
      </c>
      <c r="AG11">
        <v>475</v>
      </c>
      <c r="AH11" s="3">
        <v>2781</v>
      </c>
    </row>
    <row r="12" spans="1:34" x14ac:dyDescent="0.35">
      <c r="A12" t="s">
        <v>14</v>
      </c>
      <c r="B12">
        <v>0</v>
      </c>
      <c r="C12">
        <v>0</v>
      </c>
      <c r="D12">
        <v>0</v>
      </c>
      <c r="E12">
        <v>7</v>
      </c>
      <c r="F12">
        <v>75</v>
      </c>
      <c r="G12" s="3">
        <v>3984</v>
      </c>
      <c r="H12">
        <v>0</v>
      </c>
      <c r="I12" s="3">
        <v>2065</v>
      </c>
      <c r="J12">
        <v>11</v>
      </c>
      <c r="K12">
        <v>627</v>
      </c>
      <c r="L12" s="3">
        <v>7056</v>
      </c>
      <c r="M12">
        <v>164</v>
      </c>
      <c r="N12">
        <v>87</v>
      </c>
      <c r="O12" s="3">
        <v>1861</v>
      </c>
      <c r="P12" s="3">
        <v>1336</v>
      </c>
      <c r="Q12" s="3">
        <v>2501</v>
      </c>
      <c r="R12" s="3">
        <v>10382</v>
      </c>
      <c r="S12">
        <v>10</v>
      </c>
      <c r="T12">
        <v>283</v>
      </c>
      <c r="U12">
        <v>364</v>
      </c>
      <c r="V12" s="3">
        <v>1386</v>
      </c>
      <c r="W12">
        <v>0</v>
      </c>
      <c r="X12">
        <v>164</v>
      </c>
      <c r="Y12">
        <v>87</v>
      </c>
      <c r="Z12" s="3">
        <v>1864</v>
      </c>
      <c r="AA12" s="3">
        <v>1339</v>
      </c>
      <c r="AB12" s="3">
        <v>2572</v>
      </c>
      <c r="AC12" s="3">
        <v>14367</v>
      </c>
      <c r="AD12">
        <v>11</v>
      </c>
      <c r="AE12" s="3">
        <v>2348</v>
      </c>
      <c r="AF12">
        <v>374</v>
      </c>
      <c r="AG12" s="3">
        <v>2007</v>
      </c>
      <c r="AH12" s="3">
        <v>7056</v>
      </c>
    </row>
    <row r="13" spans="1:34" x14ac:dyDescent="0.35">
      <c r="A13" t="s">
        <v>15</v>
      </c>
      <c r="B13">
        <v>0</v>
      </c>
      <c r="C13">
        <v>0</v>
      </c>
      <c r="D13">
        <v>0</v>
      </c>
      <c r="E13">
        <v>6</v>
      </c>
      <c r="F13">
        <v>129</v>
      </c>
      <c r="G13" s="3">
        <v>4391</v>
      </c>
      <c r="H13">
        <v>10</v>
      </c>
      <c r="I13" s="3">
        <v>2529</v>
      </c>
      <c r="J13">
        <v>20</v>
      </c>
      <c r="K13">
        <v>688</v>
      </c>
      <c r="L13" s="3">
        <v>7986</v>
      </c>
      <c r="M13">
        <v>158</v>
      </c>
      <c r="N13">
        <v>66</v>
      </c>
      <c r="O13" s="3">
        <v>1673</v>
      </c>
      <c r="P13" s="3">
        <v>1270</v>
      </c>
      <c r="Q13" s="3">
        <v>2569</v>
      </c>
      <c r="R13" s="3">
        <v>10231</v>
      </c>
      <c r="S13">
        <v>21</v>
      </c>
      <c r="T13">
        <v>427</v>
      </c>
      <c r="U13">
        <v>356</v>
      </c>
      <c r="V13" s="3">
        <v>1560</v>
      </c>
      <c r="W13">
        <v>0</v>
      </c>
      <c r="X13">
        <v>158</v>
      </c>
      <c r="Y13">
        <v>66</v>
      </c>
      <c r="Z13" s="3">
        <v>1676</v>
      </c>
      <c r="AA13" s="3">
        <v>1272</v>
      </c>
      <c r="AB13" s="3">
        <v>2697</v>
      </c>
      <c r="AC13" s="3">
        <v>14623</v>
      </c>
      <c r="AD13">
        <v>27</v>
      </c>
      <c r="AE13" s="3">
        <v>2957</v>
      </c>
      <c r="AF13">
        <v>381</v>
      </c>
      <c r="AG13" s="3">
        <v>2248</v>
      </c>
      <c r="AH13" s="3">
        <v>7986</v>
      </c>
    </row>
    <row r="14" spans="1:34" x14ac:dyDescent="0.35">
      <c r="A14" t="s">
        <v>16</v>
      </c>
      <c r="B14">
        <v>0</v>
      </c>
      <c r="C14">
        <v>0</v>
      </c>
      <c r="D14">
        <v>4</v>
      </c>
      <c r="E14">
        <v>3</v>
      </c>
      <c r="F14">
        <v>71</v>
      </c>
      <c r="G14" s="3">
        <v>2900</v>
      </c>
      <c r="H14">
        <v>3</v>
      </c>
      <c r="I14" s="3">
        <v>2385</v>
      </c>
      <c r="J14">
        <v>23</v>
      </c>
      <c r="K14">
        <v>513</v>
      </c>
      <c r="L14" s="3">
        <v>5713</v>
      </c>
      <c r="M14">
        <v>47</v>
      </c>
      <c r="N14">
        <v>53</v>
      </c>
      <c r="O14">
        <v>861</v>
      </c>
      <c r="P14">
        <v>874</v>
      </c>
      <c r="Q14" s="3">
        <v>2337</v>
      </c>
      <c r="R14" s="3">
        <v>7378</v>
      </c>
      <c r="S14">
        <v>11</v>
      </c>
      <c r="T14">
        <v>231</v>
      </c>
      <c r="U14">
        <v>194</v>
      </c>
      <c r="V14">
        <v>798</v>
      </c>
      <c r="W14">
        <v>0</v>
      </c>
      <c r="X14">
        <v>47</v>
      </c>
      <c r="Y14">
        <v>53</v>
      </c>
      <c r="Z14">
        <v>864</v>
      </c>
      <c r="AA14">
        <v>878</v>
      </c>
      <c r="AB14" s="3">
        <v>2409</v>
      </c>
      <c r="AC14" s="3">
        <v>10283</v>
      </c>
      <c r="AD14">
        <v>10</v>
      </c>
      <c r="AE14" s="3">
        <v>2610</v>
      </c>
      <c r="AF14">
        <v>210</v>
      </c>
      <c r="AG14" s="3">
        <v>1309</v>
      </c>
      <c r="AH14" s="3">
        <v>5713</v>
      </c>
    </row>
    <row r="17" spans="1:24" x14ac:dyDescent="0.35">
      <c r="A17" s="4" t="s">
        <v>31</v>
      </c>
    </row>
    <row r="18" spans="1:24" x14ac:dyDescent="0.35">
      <c r="B18" s="2" t="s">
        <v>6</v>
      </c>
      <c r="G18" t="s">
        <v>4</v>
      </c>
      <c r="L18" t="s">
        <v>5</v>
      </c>
      <c r="Q18" s="2" t="s">
        <v>6</v>
      </c>
      <c r="R18" t="s">
        <v>4</v>
      </c>
      <c r="S18" s="2" t="s">
        <v>6</v>
      </c>
      <c r="V18" t="s">
        <v>4</v>
      </c>
    </row>
    <row r="19" spans="1:24" x14ac:dyDescent="0.35">
      <c r="B19" t="s">
        <v>32</v>
      </c>
      <c r="C19" t="s">
        <v>33</v>
      </c>
      <c r="D19" t="s">
        <v>34</v>
      </c>
      <c r="E19" t="s">
        <v>35</v>
      </c>
      <c r="F19" t="s">
        <v>36</v>
      </c>
      <c r="G19" t="s">
        <v>32</v>
      </c>
      <c r="H19" t="s">
        <v>33</v>
      </c>
      <c r="I19" t="s">
        <v>34</v>
      </c>
      <c r="J19" t="s">
        <v>35</v>
      </c>
      <c r="K19" t="s">
        <v>36</v>
      </c>
      <c r="L19" t="s">
        <v>32</v>
      </c>
      <c r="M19" t="s">
        <v>33</v>
      </c>
      <c r="N19" t="s">
        <v>34</v>
      </c>
      <c r="O19" t="s">
        <v>35</v>
      </c>
      <c r="P19" t="s">
        <v>36</v>
      </c>
      <c r="S19" t="s">
        <v>580</v>
      </c>
      <c r="T19" t="s">
        <v>582</v>
      </c>
      <c r="U19" t="s">
        <v>583</v>
      </c>
      <c r="V19" t="s">
        <v>580</v>
      </c>
      <c r="W19" t="s">
        <v>582</v>
      </c>
      <c r="X19" t="s">
        <v>583</v>
      </c>
    </row>
    <row r="20" spans="1:24" x14ac:dyDescent="0.35">
      <c r="A20" t="s">
        <v>7</v>
      </c>
      <c r="B20">
        <v>187</v>
      </c>
      <c r="C20" s="3">
        <v>6934</v>
      </c>
      <c r="D20">
        <v>139</v>
      </c>
      <c r="E20">
        <v>43</v>
      </c>
      <c r="F20">
        <v>379</v>
      </c>
      <c r="G20" s="3">
        <v>4748</v>
      </c>
      <c r="H20" s="3">
        <v>2256</v>
      </c>
      <c r="I20">
        <v>838</v>
      </c>
      <c r="J20">
        <v>20</v>
      </c>
      <c r="K20">
        <v>453</v>
      </c>
      <c r="L20" s="3">
        <v>4931</v>
      </c>
      <c r="M20" s="3">
        <v>9190</v>
      </c>
      <c r="N20">
        <v>981</v>
      </c>
      <c r="O20">
        <v>57</v>
      </c>
      <c r="P20">
        <v>828</v>
      </c>
      <c r="Q20">
        <f>SUM(B20:F20)</f>
        <v>7682</v>
      </c>
      <c r="R20" s="3">
        <f>SUM(G20:K20)</f>
        <v>8315</v>
      </c>
      <c r="S20" s="10">
        <f>C20/Q20</f>
        <v>0.90262952356157256</v>
      </c>
      <c r="T20" s="10">
        <f>D20/Q20</f>
        <v>1.8094246290028638E-2</v>
      </c>
      <c r="U20" s="10">
        <f>(B20+E20+F20)/Q20</f>
        <v>7.9276230148398852E-2</v>
      </c>
      <c r="V20" s="10">
        <f>H20/R20</f>
        <v>0.27131689717378232</v>
      </c>
      <c r="W20" s="10">
        <f>I20/R20</f>
        <v>0.10078171978352375</v>
      </c>
      <c r="X20" s="10">
        <f>(G20+J20+K20)/R20</f>
        <v>0.62790138304269394</v>
      </c>
    </row>
    <row r="21" spans="1:24" x14ac:dyDescent="0.35">
      <c r="A21" t="s">
        <v>8</v>
      </c>
      <c r="B21">
        <v>450</v>
      </c>
      <c r="C21" s="3">
        <v>22876</v>
      </c>
      <c r="D21">
        <v>262</v>
      </c>
      <c r="E21">
        <v>131</v>
      </c>
      <c r="F21" s="3">
        <v>1052</v>
      </c>
      <c r="G21" s="3">
        <v>14635</v>
      </c>
      <c r="H21" s="3">
        <v>10360</v>
      </c>
      <c r="I21" s="3">
        <v>2570</v>
      </c>
      <c r="J21">
        <v>61</v>
      </c>
      <c r="K21" s="3">
        <v>1440</v>
      </c>
      <c r="L21" s="3">
        <v>15084</v>
      </c>
      <c r="M21" s="3">
        <v>33233</v>
      </c>
      <c r="N21" s="3">
        <v>2830</v>
      </c>
      <c r="O21">
        <v>191</v>
      </c>
      <c r="P21" s="3">
        <v>2489</v>
      </c>
      <c r="Q21">
        <f t="shared" ref="Q21:Q29" si="0">SUM(B21:F21)</f>
        <v>24771</v>
      </c>
      <c r="R21" s="3">
        <f t="shared" ref="R21:R29" si="1">SUM(G21:K21)</f>
        <v>29066</v>
      </c>
      <c r="S21" s="10">
        <f t="shared" ref="S21:S29" si="2">C21/Q21</f>
        <v>0.92349925315893588</v>
      </c>
      <c r="T21" s="10">
        <f t="shared" ref="T21:T29" si="3">D21/Q21</f>
        <v>1.057688425981995E-2</v>
      </c>
      <c r="U21" s="10">
        <f t="shared" ref="U21:U29" si="4">(B21+E21+F21)/Q21</f>
        <v>6.5923862581244191E-2</v>
      </c>
      <c r="V21" s="10">
        <f t="shared" ref="V21:V29" si="5">H21/R21</f>
        <v>0.35643019335305853</v>
      </c>
      <c r="W21" s="10">
        <f t="shared" ref="W21:W29" si="6">I21/R21</f>
        <v>8.8419459161907382E-2</v>
      </c>
      <c r="X21" s="10">
        <f t="shared" ref="X21:X29" si="7">(G21+J21+K21)/R21</f>
        <v>0.55515034748503411</v>
      </c>
    </row>
    <row r="22" spans="1:24" x14ac:dyDescent="0.35">
      <c r="A22" t="s">
        <v>9</v>
      </c>
      <c r="B22">
        <v>346</v>
      </c>
      <c r="C22" s="3">
        <v>14918</v>
      </c>
      <c r="D22">
        <v>160</v>
      </c>
      <c r="E22">
        <v>83</v>
      </c>
      <c r="F22">
        <v>832</v>
      </c>
      <c r="G22" s="3">
        <v>9884</v>
      </c>
      <c r="H22" s="3">
        <v>7622</v>
      </c>
      <c r="I22" s="3">
        <v>1657</v>
      </c>
      <c r="J22">
        <v>50</v>
      </c>
      <c r="K22" s="3">
        <v>1074</v>
      </c>
      <c r="L22" s="3">
        <v>10227</v>
      </c>
      <c r="M22" s="3">
        <v>22534</v>
      </c>
      <c r="N22" s="3">
        <v>1823</v>
      </c>
      <c r="O22">
        <v>130</v>
      </c>
      <c r="P22" s="3">
        <v>1904</v>
      </c>
      <c r="Q22">
        <f t="shared" si="0"/>
        <v>16339</v>
      </c>
      <c r="R22" s="3">
        <f t="shared" si="1"/>
        <v>20287</v>
      </c>
      <c r="S22" s="10">
        <f t="shared" si="2"/>
        <v>0.91303017320521451</v>
      </c>
      <c r="T22" s="10">
        <f t="shared" si="3"/>
        <v>9.7925209621151851E-3</v>
      </c>
      <c r="U22" s="10">
        <f t="shared" si="4"/>
        <v>7.7177305832670295E-2</v>
      </c>
      <c r="V22" s="10">
        <f t="shared" si="5"/>
        <v>0.37570858185044609</v>
      </c>
      <c r="W22" s="10">
        <f t="shared" si="6"/>
        <v>8.1677921821856361E-2</v>
      </c>
      <c r="X22" s="10">
        <f t="shared" si="7"/>
        <v>0.54261349632769751</v>
      </c>
    </row>
    <row r="23" spans="1:24" x14ac:dyDescent="0.35">
      <c r="A23" t="s">
        <v>10</v>
      </c>
      <c r="B23">
        <v>232</v>
      </c>
      <c r="C23" s="3">
        <v>10283</v>
      </c>
      <c r="D23">
        <v>124</v>
      </c>
      <c r="E23">
        <v>68</v>
      </c>
      <c r="F23">
        <v>539</v>
      </c>
      <c r="G23" s="3">
        <v>6285</v>
      </c>
      <c r="H23" s="3">
        <v>3885</v>
      </c>
      <c r="I23">
        <v>999</v>
      </c>
      <c r="J23">
        <v>23</v>
      </c>
      <c r="K23">
        <v>894</v>
      </c>
      <c r="L23" s="3">
        <v>6519</v>
      </c>
      <c r="M23" s="3">
        <v>14173</v>
      </c>
      <c r="N23" s="3">
        <v>1125</v>
      </c>
      <c r="O23">
        <v>82</v>
      </c>
      <c r="P23" s="3">
        <v>1433</v>
      </c>
      <c r="Q23">
        <f t="shared" si="0"/>
        <v>11246</v>
      </c>
      <c r="R23" s="3">
        <f t="shared" si="1"/>
        <v>12086</v>
      </c>
      <c r="S23" s="10">
        <f t="shared" si="2"/>
        <v>0.91436955361906458</v>
      </c>
      <c r="T23" s="10">
        <f t="shared" si="3"/>
        <v>1.1026142628490131E-2</v>
      </c>
      <c r="U23" s="10">
        <f t="shared" si="4"/>
        <v>7.4604303752445311E-2</v>
      </c>
      <c r="V23" s="10">
        <f t="shared" si="5"/>
        <v>0.32144630150587455</v>
      </c>
      <c r="W23" s="10">
        <f t="shared" si="6"/>
        <v>8.2657620387224892E-2</v>
      </c>
      <c r="X23" s="10">
        <f t="shared" si="7"/>
        <v>0.5958960781069006</v>
      </c>
    </row>
    <row r="24" spans="1:24" x14ac:dyDescent="0.35">
      <c r="A24" t="s">
        <v>11</v>
      </c>
      <c r="B24">
        <v>92</v>
      </c>
      <c r="C24" s="3">
        <v>3010</v>
      </c>
      <c r="D24">
        <v>67</v>
      </c>
      <c r="E24">
        <v>18</v>
      </c>
      <c r="F24">
        <v>233</v>
      </c>
      <c r="G24" s="3">
        <v>2111</v>
      </c>
      <c r="H24">
        <v>879</v>
      </c>
      <c r="I24">
        <v>323</v>
      </c>
      <c r="J24">
        <v>3</v>
      </c>
      <c r="K24">
        <v>246</v>
      </c>
      <c r="L24" s="3">
        <v>2206</v>
      </c>
      <c r="M24" s="3">
        <v>3885</v>
      </c>
      <c r="N24">
        <v>390</v>
      </c>
      <c r="O24">
        <v>23</v>
      </c>
      <c r="P24">
        <v>484</v>
      </c>
      <c r="Q24">
        <f t="shared" si="0"/>
        <v>3420</v>
      </c>
      <c r="R24" s="3">
        <f t="shared" si="1"/>
        <v>3562</v>
      </c>
      <c r="S24" s="10">
        <f t="shared" si="2"/>
        <v>0.88011695906432752</v>
      </c>
      <c r="T24" s="10">
        <f t="shared" si="3"/>
        <v>1.9590643274853801E-2</v>
      </c>
      <c r="U24" s="10">
        <f t="shared" si="4"/>
        <v>0.10029239766081871</v>
      </c>
      <c r="V24" s="10">
        <f t="shared" si="5"/>
        <v>0.24677147669848401</v>
      </c>
      <c r="W24" s="10">
        <f t="shared" si="6"/>
        <v>9.0679393599101626E-2</v>
      </c>
      <c r="X24" s="10">
        <f t="shared" si="7"/>
        <v>0.66254912970241442</v>
      </c>
    </row>
    <row r="25" spans="1:24" x14ac:dyDescent="0.35">
      <c r="A25" t="s">
        <v>12</v>
      </c>
      <c r="B25">
        <v>234</v>
      </c>
      <c r="C25" s="3">
        <v>9977</v>
      </c>
      <c r="D25">
        <v>182</v>
      </c>
      <c r="E25">
        <v>46</v>
      </c>
      <c r="F25">
        <v>504</v>
      </c>
      <c r="G25" s="3">
        <v>6103</v>
      </c>
      <c r="H25" s="3">
        <v>3117</v>
      </c>
      <c r="I25" s="3">
        <v>1021</v>
      </c>
      <c r="J25">
        <v>28</v>
      </c>
      <c r="K25">
        <v>579</v>
      </c>
      <c r="L25" s="3">
        <v>6334</v>
      </c>
      <c r="M25" s="3">
        <v>13100</v>
      </c>
      <c r="N25" s="3">
        <v>1201</v>
      </c>
      <c r="O25">
        <v>71</v>
      </c>
      <c r="P25" s="3">
        <v>1081</v>
      </c>
      <c r="Q25">
        <f t="shared" si="0"/>
        <v>10943</v>
      </c>
      <c r="R25" s="3">
        <f t="shared" si="1"/>
        <v>10848</v>
      </c>
      <c r="S25" s="10">
        <f t="shared" si="2"/>
        <v>0.91172439002101802</v>
      </c>
      <c r="T25" s="10">
        <f t="shared" si="3"/>
        <v>1.6631636662706752E-2</v>
      </c>
      <c r="U25" s="10">
        <f t="shared" si="4"/>
        <v>7.1643973316275242E-2</v>
      </c>
      <c r="V25" s="10">
        <f t="shared" si="5"/>
        <v>0.28733407079646017</v>
      </c>
      <c r="W25" s="10">
        <f t="shared" si="6"/>
        <v>9.4118731563421834E-2</v>
      </c>
      <c r="X25" s="10">
        <f t="shared" si="7"/>
        <v>0.61854719764011801</v>
      </c>
    </row>
    <row r="26" spans="1:24" x14ac:dyDescent="0.35">
      <c r="A26" t="s">
        <v>13</v>
      </c>
      <c r="B26">
        <v>63</v>
      </c>
      <c r="C26" s="3">
        <v>5233</v>
      </c>
      <c r="D26">
        <v>57</v>
      </c>
      <c r="E26">
        <v>20</v>
      </c>
      <c r="F26">
        <v>180</v>
      </c>
      <c r="G26" s="3">
        <v>2419</v>
      </c>
      <c r="H26" s="3">
        <v>2510</v>
      </c>
      <c r="I26">
        <v>655</v>
      </c>
      <c r="J26">
        <v>8</v>
      </c>
      <c r="K26">
        <v>191</v>
      </c>
      <c r="L26" s="3">
        <v>2480</v>
      </c>
      <c r="M26" s="3">
        <v>7744</v>
      </c>
      <c r="N26">
        <v>714</v>
      </c>
      <c r="O26">
        <v>28</v>
      </c>
      <c r="P26">
        <v>370</v>
      </c>
      <c r="Q26">
        <f t="shared" si="0"/>
        <v>5553</v>
      </c>
      <c r="R26" s="3">
        <f t="shared" si="1"/>
        <v>5783</v>
      </c>
      <c r="S26" s="10">
        <f t="shared" si="2"/>
        <v>0.94237349180623087</v>
      </c>
      <c r="T26" s="10">
        <f t="shared" si="3"/>
        <v>1.0264721772015126E-2</v>
      </c>
      <c r="U26" s="10">
        <f t="shared" si="4"/>
        <v>4.736178642175401E-2</v>
      </c>
      <c r="V26" s="10">
        <f t="shared" si="5"/>
        <v>0.43403077987203875</v>
      </c>
      <c r="W26" s="10">
        <f t="shared" si="6"/>
        <v>0.11326301227736468</v>
      </c>
      <c r="X26" s="10">
        <f t="shared" si="7"/>
        <v>0.45270620785059656</v>
      </c>
    </row>
    <row r="27" spans="1:24" x14ac:dyDescent="0.35">
      <c r="A27" t="s">
        <v>14</v>
      </c>
      <c r="B27">
        <v>221</v>
      </c>
      <c r="C27" s="3">
        <v>12863</v>
      </c>
      <c r="D27">
        <v>114</v>
      </c>
      <c r="E27">
        <v>88</v>
      </c>
      <c r="F27">
        <v>543</v>
      </c>
      <c r="G27" s="3">
        <v>8498</v>
      </c>
      <c r="H27" s="3">
        <v>7467</v>
      </c>
      <c r="I27" s="3">
        <v>1477</v>
      </c>
      <c r="J27">
        <v>49</v>
      </c>
      <c r="K27">
        <v>876</v>
      </c>
      <c r="L27" s="3">
        <v>8720</v>
      </c>
      <c r="M27" s="3">
        <v>20328</v>
      </c>
      <c r="N27" s="3">
        <v>1587</v>
      </c>
      <c r="O27">
        <v>139</v>
      </c>
      <c r="P27" s="3">
        <v>1421</v>
      </c>
      <c r="Q27">
        <f t="shared" si="0"/>
        <v>13829</v>
      </c>
      <c r="R27" s="3">
        <f t="shared" si="1"/>
        <v>18367</v>
      </c>
      <c r="S27" s="10">
        <f t="shared" si="2"/>
        <v>0.93014679297129221</v>
      </c>
      <c r="T27" s="10">
        <f t="shared" si="3"/>
        <v>8.2435461710897388E-3</v>
      </c>
      <c r="U27" s="10">
        <f t="shared" si="4"/>
        <v>6.160966085761805E-2</v>
      </c>
      <c r="V27" s="10">
        <f t="shared" si="5"/>
        <v>0.40654434583764359</v>
      </c>
      <c r="W27" s="10">
        <f t="shared" si="6"/>
        <v>8.0415963412642233E-2</v>
      </c>
      <c r="X27" s="10">
        <f t="shared" si="7"/>
        <v>0.51303969074971412</v>
      </c>
    </row>
    <row r="28" spans="1:24" x14ac:dyDescent="0.35">
      <c r="A28" t="s">
        <v>15</v>
      </c>
      <c r="B28">
        <v>314</v>
      </c>
      <c r="C28" s="3">
        <v>14498</v>
      </c>
      <c r="D28">
        <v>147</v>
      </c>
      <c r="E28">
        <v>81</v>
      </c>
      <c r="F28">
        <v>714</v>
      </c>
      <c r="G28" s="3">
        <v>8792</v>
      </c>
      <c r="H28" s="3">
        <v>6852</v>
      </c>
      <c r="I28" s="3">
        <v>1479</v>
      </c>
      <c r="J28">
        <v>40</v>
      </c>
      <c r="K28" s="3">
        <v>1169</v>
      </c>
      <c r="L28" s="3">
        <v>9108</v>
      </c>
      <c r="M28" s="3">
        <v>21355</v>
      </c>
      <c r="N28" s="3">
        <v>1633</v>
      </c>
      <c r="O28">
        <v>120</v>
      </c>
      <c r="P28" s="3">
        <v>1890</v>
      </c>
      <c r="Q28">
        <f t="shared" si="0"/>
        <v>15754</v>
      </c>
      <c r="R28" s="3">
        <f t="shared" si="1"/>
        <v>18332</v>
      </c>
      <c r="S28" s="10">
        <f t="shared" si="2"/>
        <v>0.92027421607210869</v>
      </c>
      <c r="T28" s="10">
        <f t="shared" si="3"/>
        <v>9.3309635648089369E-3</v>
      </c>
      <c r="U28" s="10">
        <f t="shared" si="4"/>
        <v>7.0394820363082394E-2</v>
      </c>
      <c r="V28" s="10">
        <f t="shared" si="5"/>
        <v>0.37377263801003707</v>
      </c>
      <c r="W28" s="10">
        <f t="shared" si="6"/>
        <v>8.0678594806895043E-2</v>
      </c>
      <c r="X28" s="10">
        <f t="shared" si="7"/>
        <v>0.54554876718306788</v>
      </c>
    </row>
    <row r="29" spans="1:24" x14ac:dyDescent="0.35">
      <c r="A29" t="s">
        <v>16</v>
      </c>
      <c r="B29">
        <v>272</v>
      </c>
      <c r="C29" s="3">
        <v>10678</v>
      </c>
      <c r="D29">
        <v>154</v>
      </c>
      <c r="E29">
        <v>50</v>
      </c>
      <c r="F29">
        <v>451</v>
      </c>
      <c r="G29" s="3">
        <v>6872</v>
      </c>
      <c r="H29" s="3">
        <v>3822</v>
      </c>
      <c r="I29" s="3">
        <v>1489</v>
      </c>
      <c r="J29">
        <v>25</v>
      </c>
      <c r="K29">
        <v>568</v>
      </c>
      <c r="L29" s="3">
        <v>7147</v>
      </c>
      <c r="M29" s="3">
        <v>14505</v>
      </c>
      <c r="N29" s="3">
        <v>1644</v>
      </c>
      <c r="O29">
        <v>81</v>
      </c>
      <c r="P29" s="3">
        <v>1022</v>
      </c>
      <c r="Q29">
        <f t="shared" si="0"/>
        <v>11605</v>
      </c>
      <c r="R29" s="3">
        <f t="shared" si="1"/>
        <v>12776</v>
      </c>
      <c r="S29" s="10">
        <f t="shared" si="2"/>
        <v>0.92012063765618268</v>
      </c>
      <c r="T29" s="10">
        <f t="shared" si="3"/>
        <v>1.3270142180094787E-2</v>
      </c>
      <c r="U29" s="10">
        <f t="shared" si="4"/>
        <v>6.6609220163722532E-2</v>
      </c>
      <c r="V29" s="10">
        <f t="shared" si="5"/>
        <v>0.29915466499686916</v>
      </c>
      <c r="W29" s="10">
        <f t="shared" si="6"/>
        <v>0.1165466499686913</v>
      </c>
      <c r="X29" s="10">
        <f t="shared" si="7"/>
        <v>0.5842986850344396</v>
      </c>
    </row>
    <row r="30" spans="1:24" ht="15" x14ac:dyDescent="0.4">
      <c r="A30" s="11" t="s">
        <v>567</v>
      </c>
      <c r="B30">
        <f>SUM(B20:B29)</f>
        <v>2411</v>
      </c>
      <c r="C30">
        <f t="shared" ref="C30:P30" si="8">SUM(C20:C29)</f>
        <v>111270</v>
      </c>
      <c r="D30">
        <f t="shared" si="8"/>
        <v>1406</v>
      </c>
      <c r="E30">
        <f t="shared" si="8"/>
        <v>628</v>
      </c>
      <c r="F30">
        <f t="shared" si="8"/>
        <v>5427</v>
      </c>
      <c r="G30">
        <f t="shared" si="8"/>
        <v>70347</v>
      </c>
      <c r="H30">
        <f t="shared" si="8"/>
        <v>48770</v>
      </c>
      <c r="I30">
        <f t="shared" si="8"/>
        <v>12508</v>
      </c>
      <c r="J30">
        <f t="shared" si="8"/>
        <v>307</v>
      </c>
      <c r="K30">
        <f t="shared" si="8"/>
        <v>7490</v>
      </c>
      <c r="L30">
        <f t="shared" si="8"/>
        <v>72756</v>
      </c>
      <c r="M30">
        <f t="shared" si="8"/>
        <v>160047</v>
      </c>
      <c r="N30">
        <f t="shared" si="8"/>
        <v>13928</v>
      </c>
      <c r="O30">
        <f t="shared" si="8"/>
        <v>922</v>
      </c>
      <c r="P30">
        <f t="shared" si="8"/>
        <v>12922</v>
      </c>
      <c r="Q30">
        <f t="shared" ref="Q30" si="9">SUM(B30:F30)</f>
        <v>121142</v>
      </c>
      <c r="R30" s="3">
        <f t="shared" ref="R30" si="10">SUM(G30:K30)</f>
        <v>139422</v>
      </c>
      <c r="S30" s="10">
        <f t="shared" ref="S30" si="11">C30/Q30</f>
        <v>0.91850885737399091</v>
      </c>
      <c r="T30" s="10">
        <f t="shared" ref="T30" si="12">D30/Q30</f>
        <v>1.1606214194911757E-2</v>
      </c>
      <c r="U30" s="10">
        <f t="shared" ref="U30" si="13">(B30+E30+F30)/Q30</f>
        <v>6.9884928431097393E-2</v>
      </c>
      <c r="V30" s="10">
        <f t="shared" ref="V30" si="14">H30/R30</f>
        <v>0.34980132260331942</v>
      </c>
      <c r="W30" s="10">
        <f t="shared" ref="W30" si="15">I30/R30</f>
        <v>8.9713244681614096E-2</v>
      </c>
      <c r="X30" s="10">
        <f t="shared" ref="X30" si="16">(G30+J30+K30)/R30</f>
        <v>0.56048543271506646</v>
      </c>
    </row>
    <row r="31" spans="1:24" ht="15" x14ac:dyDescent="0.4">
      <c r="A31" s="11" t="s">
        <v>637</v>
      </c>
      <c r="B31" s="37">
        <v>8</v>
      </c>
      <c r="C31" s="37">
        <v>269</v>
      </c>
      <c r="D31" s="37">
        <v>10</v>
      </c>
      <c r="E31" s="37">
        <v>0</v>
      </c>
      <c r="F31" s="37">
        <v>16</v>
      </c>
      <c r="G31" s="37">
        <v>236</v>
      </c>
      <c r="H31" s="37">
        <v>125</v>
      </c>
      <c r="I31" s="37">
        <v>29</v>
      </c>
      <c r="J31" s="37">
        <v>0</v>
      </c>
      <c r="K31" s="37">
        <v>11</v>
      </c>
      <c r="Q31">
        <f t="shared" ref="Q31" si="17">SUM(B31:F31)</f>
        <v>303</v>
      </c>
      <c r="R31" s="3">
        <f t="shared" ref="R31" si="18">SUM(G31:K31)</f>
        <v>401</v>
      </c>
      <c r="S31" s="10">
        <f t="shared" ref="S31" si="19">C31/Q31</f>
        <v>0.88778877887788776</v>
      </c>
      <c r="T31" s="10">
        <f t="shared" ref="T31" si="20">D31/Q31</f>
        <v>3.3003300330033E-2</v>
      </c>
      <c r="U31" s="10">
        <f t="shared" ref="U31" si="21">(B31+E31+F31)/Q31</f>
        <v>7.9207920792079209E-2</v>
      </c>
      <c r="V31" s="10">
        <f t="shared" ref="V31" si="22">H31/R31</f>
        <v>0.3117206982543641</v>
      </c>
      <c r="W31" s="10">
        <f t="shared" ref="W31" si="23">I31/R31</f>
        <v>7.2319201995012475E-2</v>
      </c>
      <c r="X31" s="10">
        <f t="shared" ref="X31" si="24">(G31+J31+K31)/R31</f>
        <v>0.61596009975062349</v>
      </c>
    </row>
    <row r="33" spans="1:37" x14ac:dyDescent="0.35">
      <c r="A33" s="4" t="s">
        <v>47</v>
      </c>
    </row>
    <row r="34" spans="1:37" x14ac:dyDescent="0.35">
      <c r="B34" s="2" t="s">
        <v>6</v>
      </c>
      <c r="O34" t="s">
        <v>4</v>
      </c>
      <c r="AB34" t="s">
        <v>4</v>
      </c>
    </row>
    <row r="35" spans="1:37" x14ac:dyDescent="0.35">
      <c r="B35" t="s">
        <v>37</v>
      </c>
      <c r="C35" t="s">
        <v>38</v>
      </c>
      <c r="D35" t="s">
        <v>39</v>
      </c>
      <c r="E35" t="s">
        <v>40</v>
      </c>
      <c r="F35" t="s">
        <v>41</v>
      </c>
      <c r="G35" t="s">
        <v>42</v>
      </c>
      <c r="H35" t="s">
        <v>43</v>
      </c>
      <c r="I35" t="s">
        <v>44</v>
      </c>
      <c r="J35" t="s">
        <v>45</v>
      </c>
      <c r="K35" t="s">
        <v>46</v>
      </c>
      <c r="L35" t="s">
        <v>28</v>
      </c>
      <c r="M35" t="s">
        <v>29</v>
      </c>
      <c r="N35" t="s">
        <v>37</v>
      </c>
      <c r="O35" t="s">
        <v>38</v>
      </c>
      <c r="P35" t="s">
        <v>39</v>
      </c>
      <c r="Q35" t="s">
        <v>40</v>
      </c>
      <c r="R35" t="s">
        <v>41</v>
      </c>
      <c r="S35" t="s">
        <v>42</v>
      </c>
      <c r="T35" t="s">
        <v>43</v>
      </c>
      <c r="U35" t="s">
        <v>44</v>
      </c>
      <c r="V35" t="s">
        <v>45</v>
      </c>
      <c r="W35" t="s">
        <v>46</v>
      </c>
      <c r="X35" t="s">
        <v>28</v>
      </c>
      <c r="Y35" t="s">
        <v>29</v>
      </c>
      <c r="Z35" t="s">
        <v>5</v>
      </c>
      <c r="AB35" t="s">
        <v>585</v>
      </c>
      <c r="AC35" t="s">
        <v>586</v>
      </c>
      <c r="AD35" t="s">
        <v>587</v>
      </c>
    </row>
    <row r="36" spans="1:37" x14ac:dyDescent="0.35">
      <c r="A36" t="s">
        <v>7</v>
      </c>
      <c r="B36">
        <v>0</v>
      </c>
      <c r="C36">
        <v>418</v>
      </c>
      <c r="D36">
        <v>121</v>
      </c>
      <c r="E36">
        <v>158</v>
      </c>
      <c r="F36" s="3">
        <v>3267</v>
      </c>
      <c r="G36" s="3">
        <v>1190</v>
      </c>
      <c r="H36" s="3">
        <v>1505</v>
      </c>
      <c r="I36">
        <v>188</v>
      </c>
      <c r="J36">
        <v>17</v>
      </c>
      <c r="K36">
        <v>78</v>
      </c>
      <c r="L36">
        <v>558</v>
      </c>
      <c r="M36">
        <v>187</v>
      </c>
      <c r="N36">
        <v>0</v>
      </c>
      <c r="O36">
        <v>0</v>
      </c>
      <c r="P36">
        <v>0</v>
      </c>
      <c r="Q36">
        <v>0</v>
      </c>
      <c r="R36">
        <v>268</v>
      </c>
      <c r="S36">
        <v>73</v>
      </c>
      <c r="T36">
        <v>148</v>
      </c>
      <c r="U36">
        <v>845</v>
      </c>
      <c r="V36" s="3">
        <v>1618</v>
      </c>
      <c r="W36">
        <v>131</v>
      </c>
      <c r="X36">
        <v>488</v>
      </c>
      <c r="Y36" s="3">
        <v>4748</v>
      </c>
      <c r="Z36">
        <f>SUM(N36:Y36)</f>
        <v>8319</v>
      </c>
      <c r="AB36" s="10">
        <f>(R36+S36+T36)/Z36</f>
        <v>5.8781103498016588E-2</v>
      </c>
      <c r="AC36" s="10">
        <f>U36/Z36</f>
        <v>0.10157470849861762</v>
      </c>
      <c r="AD36" s="10">
        <f>V36/Z36</f>
        <v>0.19449453059261931</v>
      </c>
      <c r="AE36" s="3"/>
      <c r="AF36" s="3"/>
      <c r="AG36" s="3"/>
      <c r="AH36" s="3"/>
      <c r="AJ36" s="3"/>
      <c r="AK36" s="3"/>
    </row>
    <row r="37" spans="1:37" x14ac:dyDescent="0.35">
      <c r="A37" t="s">
        <v>8</v>
      </c>
      <c r="B37">
        <v>0</v>
      </c>
      <c r="C37" s="3">
        <v>1381</v>
      </c>
      <c r="D37">
        <v>342</v>
      </c>
      <c r="E37">
        <v>309</v>
      </c>
      <c r="F37" s="3">
        <v>12135</v>
      </c>
      <c r="G37" s="3">
        <v>4184</v>
      </c>
      <c r="H37" s="3">
        <v>3674</v>
      </c>
      <c r="I37">
        <v>385</v>
      </c>
      <c r="J37">
        <v>52</v>
      </c>
      <c r="K37">
        <v>284</v>
      </c>
      <c r="L37" s="3">
        <v>1567</v>
      </c>
      <c r="M37">
        <v>450</v>
      </c>
      <c r="N37">
        <v>0</v>
      </c>
      <c r="O37">
        <v>0</v>
      </c>
      <c r="P37">
        <v>0</v>
      </c>
      <c r="Q37">
        <v>0</v>
      </c>
      <c r="R37" s="3">
        <v>1194</v>
      </c>
      <c r="S37">
        <v>288</v>
      </c>
      <c r="T37">
        <v>331</v>
      </c>
      <c r="U37" s="3">
        <v>2834</v>
      </c>
      <c r="V37" s="3">
        <v>7523</v>
      </c>
      <c r="W37">
        <v>596</v>
      </c>
      <c r="X37" s="3">
        <v>1664</v>
      </c>
      <c r="Y37" s="3">
        <v>14635</v>
      </c>
      <c r="Z37">
        <f t="shared" ref="Z37:Z46" si="25">SUM(N37:Y37)</f>
        <v>29065</v>
      </c>
      <c r="AA37" s="3"/>
      <c r="AB37" s="10">
        <f t="shared" ref="AB37:AB46" si="26">(R37+S37+T37)/Z37</f>
        <v>6.2377429898503353E-2</v>
      </c>
      <c r="AC37" s="10">
        <f t="shared" ref="AC37:AC46" si="27">U37/Z37</f>
        <v>9.750559091691037E-2</v>
      </c>
      <c r="AD37" s="10">
        <f t="shared" ref="AD37:AD46" si="28">V37/Z37</f>
        <v>0.25883364871838982</v>
      </c>
      <c r="AE37" s="3"/>
      <c r="AF37" s="3"/>
      <c r="AG37" s="3"/>
      <c r="AH37" s="3"/>
      <c r="AJ37" s="3"/>
      <c r="AK37" s="3"/>
    </row>
    <row r="38" spans="1:37" x14ac:dyDescent="0.35">
      <c r="A38" t="s">
        <v>9</v>
      </c>
      <c r="B38">
        <v>0</v>
      </c>
      <c r="C38">
        <v>820</v>
      </c>
      <c r="D38">
        <v>260</v>
      </c>
      <c r="E38">
        <v>209</v>
      </c>
      <c r="F38" s="3">
        <v>7636</v>
      </c>
      <c r="G38" s="3">
        <v>2861</v>
      </c>
      <c r="H38" s="3">
        <v>2430</v>
      </c>
      <c r="I38">
        <v>255</v>
      </c>
      <c r="J38">
        <v>40</v>
      </c>
      <c r="K38">
        <v>160</v>
      </c>
      <c r="L38" s="3">
        <v>1319</v>
      </c>
      <c r="M38">
        <v>346</v>
      </c>
      <c r="N38">
        <v>0</v>
      </c>
      <c r="O38">
        <v>0</v>
      </c>
      <c r="P38">
        <v>0</v>
      </c>
      <c r="Q38">
        <v>0</v>
      </c>
      <c r="R38">
        <v>607</v>
      </c>
      <c r="S38">
        <v>232</v>
      </c>
      <c r="T38">
        <v>174</v>
      </c>
      <c r="U38" s="3">
        <v>1866</v>
      </c>
      <c r="V38" s="3">
        <v>5712</v>
      </c>
      <c r="W38">
        <v>518</v>
      </c>
      <c r="X38" s="3">
        <v>1296</v>
      </c>
      <c r="Y38" s="3">
        <v>9884</v>
      </c>
      <c r="Z38">
        <f t="shared" si="25"/>
        <v>20289</v>
      </c>
      <c r="AB38" s="10">
        <f t="shared" si="26"/>
        <v>4.9928532702449603E-2</v>
      </c>
      <c r="AC38" s="10">
        <f t="shared" si="27"/>
        <v>9.1971018778648522E-2</v>
      </c>
      <c r="AD38" s="10">
        <f t="shared" si="28"/>
        <v>0.28153186455714918</v>
      </c>
      <c r="AE38" s="3"/>
      <c r="AF38" s="3"/>
      <c r="AG38" s="3"/>
      <c r="AH38" s="3"/>
      <c r="AJ38" s="3"/>
      <c r="AK38" s="3"/>
    </row>
    <row r="39" spans="1:37" x14ac:dyDescent="0.35">
      <c r="A39" t="s">
        <v>10</v>
      </c>
      <c r="B39">
        <v>0</v>
      </c>
      <c r="C39">
        <v>624</v>
      </c>
      <c r="D39">
        <v>210</v>
      </c>
      <c r="E39">
        <v>116</v>
      </c>
      <c r="F39" s="3">
        <v>5550</v>
      </c>
      <c r="G39" s="3">
        <v>2138</v>
      </c>
      <c r="H39" s="3">
        <v>1304</v>
      </c>
      <c r="I39">
        <v>99</v>
      </c>
      <c r="J39">
        <v>22</v>
      </c>
      <c r="K39">
        <v>127</v>
      </c>
      <c r="L39">
        <v>824</v>
      </c>
      <c r="M39">
        <v>232</v>
      </c>
      <c r="N39">
        <v>0</v>
      </c>
      <c r="O39">
        <v>0</v>
      </c>
      <c r="P39">
        <v>0</v>
      </c>
      <c r="Q39">
        <v>0</v>
      </c>
      <c r="R39">
        <v>379</v>
      </c>
      <c r="S39">
        <v>124</v>
      </c>
      <c r="T39">
        <v>72</v>
      </c>
      <c r="U39">
        <v>894</v>
      </c>
      <c r="V39" s="3">
        <v>3063</v>
      </c>
      <c r="W39">
        <v>270</v>
      </c>
      <c r="X39">
        <v>997</v>
      </c>
      <c r="Y39" s="3">
        <v>6285</v>
      </c>
      <c r="Z39">
        <f t="shared" si="25"/>
        <v>12084</v>
      </c>
      <c r="AB39" s="10">
        <f t="shared" si="26"/>
        <v>4.7583581595498178E-2</v>
      </c>
      <c r="AC39" s="10">
        <f t="shared" si="27"/>
        <v>7.3982125124131076E-2</v>
      </c>
      <c r="AD39" s="10">
        <f t="shared" si="28"/>
        <v>0.25347567030784507</v>
      </c>
      <c r="AE39" s="3"/>
      <c r="AF39" s="3"/>
      <c r="AH39" s="3"/>
      <c r="AJ39" s="3"/>
      <c r="AK39" s="3"/>
    </row>
    <row r="40" spans="1:37" x14ac:dyDescent="0.35">
      <c r="A40" t="s">
        <v>11</v>
      </c>
      <c r="B40">
        <v>0</v>
      </c>
      <c r="C40">
        <v>182</v>
      </c>
      <c r="D40">
        <v>77</v>
      </c>
      <c r="E40">
        <v>23</v>
      </c>
      <c r="F40" s="3">
        <v>1597</v>
      </c>
      <c r="G40">
        <v>751</v>
      </c>
      <c r="H40">
        <v>271</v>
      </c>
      <c r="I40">
        <v>55</v>
      </c>
      <c r="J40">
        <v>7</v>
      </c>
      <c r="K40">
        <v>21</v>
      </c>
      <c r="L40">
        <v>352</v>
      </c>
      <c r="M40">
        <v>92</v>
      </c>
      <c r="N40">
        <v>0</v>
      </c>
      <c r="O40">
        <v>0</v>
      </c>
      <c r="P40">
        <v>0</v>
      </c>
      <c r="Q40">
        <v>0</v>
      </c>
      <c r="R40">
        <v>145</v>
      </c>
      <c r="S40">
        <v>77</v>
      </c>
      <c r="T40">
        <v>25</v>
      </c>
      <c r="U40">
        <v>346</v>
      </c>
      <c r="V40">
        <v>473</v>
      </c>
      <c r="W40">
        <v>99</v>
      </c>
      <c r="X40">
        <v>292</v>
      </c>
      <c r="Y40" s="3">
        <v>2111</v>
      </c>
      <c r="Z40">
        <f t="shared" si="25"/>
        <v>3568</v>
      </c>
      <c r="AB40" s="10">
        <f t="shared" si="26"/>
        <v>6.9226457399103145E-2</v>
      </c>
      <c r="AC40" s="10">
        <f t="shared" si="27"/>
        <v>9.697309417040359E-2</v>
      </c>
      <c r="AD40" s="10">
        <f t="shared" si="28"/>
        <v>0.13256726457399104</v>
      </c>
      <c r="AK40" s="3"/>
    </row>
    <row r="41" spans="1:37" x14ac:dyDescent="0.35">
      <c r="A41" t="s">
        <v>12</v>
      </c>
      <c r="B41">
        <v>0</v>
      </c>
      <c r="C41">
        <v>682</v>
      </c>
      <c r="D41">
        <v>146</v>
      </c>
      <c r="E41">
        <v>155</v>
      </c>
      <c r="F41" s="3">
        <v>4520</v>
      </c>
      <c r="G41" s="3">
        <v>1933</v>
      </c>
      <c r="H41" s="3">
        <v>2265</v>
      </c>
      <c r="I41">
        <v>174</v>
      </c>
      <c r="J41">
        <v>12</v>
      </c>
      <c r="K41">
        <v>106</v>
      </c>
      <c r="L41">
        <v>721</v>
      </c>
      <c r="M41">
        <v>234</v>
      </c>
      <c r="N41">
        <v>0</v>
      </c>
      <c r="O41">
        <v>0</v>
      </c>
      <c r="P41">
        <v>0</v>
      </c>
      <c r="Q41">
        <v>0</v>
      </c>
      <c r="R41">
        <v>355</v>
      </c>
      <c r="S41">
        <v>155</v>
      </c>
      <c r="T41">
        <v>212</v>
      </c>
      <c r="U41" s="3">
        <v>1089</v>
      </c>
      <c r="V41" s="3">
        <v>2110</v>
      </c>
      <c r="W41">
        <v>174</v>
      </c>
      <c r="X41">
        <v>640</v>
      </c>
      <c r="Y41" s="3">
        <v>6103</v>
      </c>
      <c r="Z41">
        <f t="shared" si="25"/>
        <v>10838</v>
      </c>
      <c r="AB41" s="10">
        <f t="shared" si="26"/>
        <v>6.661745709540505E-2</v>
      </c>
      <c r="AC41" s="10">
        <f t="shared" si="27"/>
        <v>0.1004797933198007</v>
      </c>
      <c r="AD41" s="10">
        <f t="shared" si="28"/>
        <v>0.19468536630374608</v>
      </c>
      <c r="AE41" s="3"/>
      <c r="AF41" s="3"/>
      <c r="AG41" s="3"/>
      <c r="AH41" s="3"/>
      <c r="AJ41" s="3"/>
      <c r="AK41" s="3"/>
    </row>
    <row r="42" spans="1:37" x14ac:dyDescent="0.35">
      <c r="A42" t="s">
        <v>13</v>
      </c>
      <c r="B42">
        <v>0</v>
      </c>
      <c r="C42">
        <v>371</v>
      </c>
      <c r="D42">
        <v>78</v>
      </c>
      <c r="E42">
        <v>52</v>
      </c>
      <c r="F42" s="3">
        <v>2647</v>
      </c>
      <c r="G42" s="3">
        <v>1192</v>
      </c>
      <c r="H42">
        <v>824</v>
      </c>
      <c r="I42">
        <v>55</v>
      </c>
      <c r="J42">
        <v>13</v>
      </c>
      <c r="K42">
        <v>22</v>
      </c>
      <c r="L42">
        <v>242</v>
      </c>
      <c r="M42">
        <v>63</v>
      </c>
      <c r="N42">
        <v>0</v>
      </c>
      <c r="O42">
        <v>0</v>
      </c>
      <c r="P42">
        <v>0</v>
      </c>
      <c r="Q42">
        <v>0</v>
      </c>
      <c r="R42">
        <v>248</v>
      </c>
      <c r="S42">
        <v>102</v>
      </c>
      <c r="T42">
        <v>92</v>
      </c>
      <c r="U42">
        <v>583</v>
      </c>
      <c r="V42" s="3">
        <v>2041</v>
      </c>
      <c r="W42">
        <v>89</v>
      </c>
      <c r="X42">
        <v>217</v>
      </c>
      <c r="Y42" s="3">
        <v>2419</v>
      </c>
      <c r="Z42">
        <f t="shared" si="25"/>
        <v>5791</v>
      </c>
      <c r="AB42" s="10">
        <f t="shared" si="26"/>
        <v>7.6325332412364014E-2</v>
      </c>
      <c r="AC42" s="10">
        <f t="shared" si="27"/>
        <v>0.10067345881540321</v>
      </c>
      <c r="AD42" s="10">
        <f t="shared" si="28"/>
        <v>0.35244344672768091</v>
      </c>
      <c r="AE42" s="3"/>
      <c r="AH42" s="3"/>
      <c r="AK42" s="3"/>
    </row>
    <row r="43" spans="1:37" x14ac:dyDescent="0.35">
      <c r="A43" t="s">
        <v>14</v>
      </c>
      <c r="B43">
        <v>0</v>
      </c>
      <c r="C43">
        <v>840</v>
      </c>
      <c r="D43">
        <v>331</v>
      </c>
      <c r="E43">
        <v>64</v>
      </c>
      <c r="F43" s="3">
        <v>6661</v>
      </c>
      <c r="G43" s="3">
        <v>3481</v>
      </c>
      <c r="H43">
        <v>976</v>
      </c>
      <c r="I43">
        <v>154</v>
      </c>
      <c r="J43">
        <v>39</v>
      </c>
      <c r="K43">
        <v>123</v>
      </c>
      <c r="L43">
        <v>927</v>
      </c>
      <c r="M43">
        <v>221</v>
      </c>
      <c r="N43">
        <v>0</v>
      </c>
      <c r="O43">
        <v>0</v>
      </c>
      <c r="P43">
        <v>0</v>
      </c>
      <c r="Q43">
        <v>0</v>
      </c>
      <c r="R43">
        <v>513</v>
      </c>
      <c r="S43">
        <v>225</v>
      </c>
      <c r="T43">
        <v>83</v>
      </c>
      <c r="U43" s="3">
        <v>1611</v>
      </c>
      <c r="V43" s="3">
        <v>6003</v>
      </c>
      <c r="W43">
        <v>392</v>
      </c>
      <c r="X43" s="3">
        <v>1044</v>
      </c>
      <c r="Y43" s="3">
        <v>8498</v>
      </c>
      <c r="Z43">
        <f t="shared" si="25"/>
        <v>18369</v>
      </c>
      <c r="AB43" s="10">
        <f t="shared" si="26"/>
        <v>4.4694866350917309E-2</v>
      </c>
      <c r="AC43" s="10">
        <f t="shared" si="27"/>
        <v>8.7702106810387065E-2</v>
      </c>
      <c r="AD43" s="10">
        <f t="shared" si="28"/>
        <v>0.32680058794708478</v>
      </c>
      <c r="AE43" s="3"/>
      <c r="AF43" s="3"/>
      <c r="AG43" s="3"/>
      <c r="AH43" s="3"/>
      <c r="AJ43" s="3"/>
      <c r="AK43" s="3"/>
    </row>
    <row r="44" spans="1:37" x14ac:dyDescent="0.35">
      <c r="A44" t="s">
        <v>15</v>
      </c>
      <c r="B44">
        <v>0</v>
      </c>
      <c r="C44">
        <v>978</v>
      </c>
      <c r="D44">
        <v>310</v>
      </c>
      <c r="E44">
        <v>187</v>
      </c>
      <c r="F44" s="3">
        <v>7229</v>
      </c>
      <c r="G44" s="3">
        <v>3505</v>
      </c>
      <c r="H44" s="3">
        <v>1771</v>
      </c>
      <c r="I44">
        <v>135</v>
      </c>
      <c r="J44">
        <v>59</v>
      </c>
      <c r="K44">
        <v>165</v>
      </c>
      <c r="L44" s="3">
        <v>1102</v>
      </c>
      <c r="M44">
        <v>314</v>
      </c>
      <c r="N44">
        <v>0</v>
      </c>
      <c r="O44">
        <v>0</v>
      </c>
      <c r="P44">
        <v>0</v>
      </c>
      <c r="Q44">
        <v>0</v>
      </c>
      <c r="R44">
        <v>629</v>
      </c>
      <c r="S44">
        <v>230</v>
      </c>
      <c r="T44">
        <v>151</v>
      </c>
      <c r="U44" s="3">
        <v>1487</v>
      </c>
      <c r="V44" s="3">
        <v>5168</v>
      </c>
      <c r="W44">
        <v>543</v>
      </c>
      <c r="X44" s="3">
        <v>1349</v>
      </c>
      <c r="Y44" s="3">
        <v>8792</v>
      </c>
      <c r="Z44">
        <f t="shared" si="25"/>
        <v>18349</v>
      </c>
      <c r="AB44" s="10">
        <f t="shared" si="26"/>
        <v>5.5043871600632184E-2</v>
      </c>
      <c r="AC44" s="10">
        <f t="shared" si="27"/>
        <v>8.1039838683306997E-2</v>
      </c>
      <c r="AD44" s="10">
        <f t="shared" si="28"/>
        <v>0.2816502261703635</v>
      </c>
      <c r="AE44" s="3"/>
      <c r="AF44" s="3"/>
      <c r="AG44" s="3"/>
      <c r="AH44" s="3"/>
      <c r="AJ44" s="3"/>
      <c r="AK44" s="3"/>
    </row>
    <row r="45" spans="1:37" x14ac:dyDescent="0.35">
      <c r="A45" t="s">
        <v>16</v>
      </c>
      <c r="B45">
        <v>0</v>
      </c>
      <c r="C45">
        <v>761</v>
      </c>
      <c r="D45">
        <v>142</v>
      </c>
      <c r="E45">
        <v>150</v>
      </c>
      <c r="F45" s="3">
        <v>5587</v>
      </c>
      <c r="G45" s="3">
        <v>1802</v>
      </c>
      <c r="H45" s="3">
        <v>1938</v>
      </c>
      <c r="I45">
        <v>188</v>
      </c>
      <c r="J45">
        <v>9</v>
      </c>
      <c r="K45">
        <v>78</v>
      </c>
      <c r="L45">
        <v>671</v>
      </c>
      <c r="M45">
        <v>272</v>
      </c>
      <c r="N45">
        <v>0</v>
      </c>
      <c r="O45">
        <v>0</v>
      </c>
      <c r="P45">
        <v>0</v>
      </c>
      <c r="Q45">
        <v>0</v>
      </c>
      <c r="R45">
        <v>499</v>
      </c>
      <c r="S45">
        <v>175</v>
      </c>
      <c r="T45">
        <v>220</v>
      </c>
      <c r="U45" s="3">
        <v>1439</v>
      </c>
      <c r="V45" s="3">
        <v>2709</v>
      </c>
      <c r="W45">
        <v>218</v>
      </c>
      <c r="X45">
        <v>644</v>
      </c>
      <c r="Y45" s="3">
        <v>6872</v>
      </c>
      <c r="Z45">
        <f t="shared" si="25"/>
        <v>12776</v>
      </c>
      <c r="AB45" s="10">
        <f t="shared" si="26"/>
        <v>6.9974953036944273E-2</v>
      </c>
      <c r="AC45" s="10">
        <f t="shared" si="27"/>
        <v>0.11263306199123356</v>
      </c>
      <c r="AD45" s="10">
        <f t="shared" si="28"/>
        <v>0.21203819661866</v>
      </c>
      <c r="AE45" s="3"/>
      <c r="AF45" s="3"/>
      <c r="AG45" s="3"/>
      <c r="AH45" s="3"/>
      <c r="AJ45" s="3"/>
      <c r="AK45" s="3"/>
    </row>
    <row r="46" spans="1:37" ht="15" x14ac:dyDescent="0.4">
      <c r="A46" s="11" t="s">
        <v>567</v>
      </c>
      <c r="B46">
        <f>SUM(B36:B45)</f>
        <v>0</v>
      </c>
      <c r="C46">
        <f t="shared" ref="C46:Y46" si="29">SUM(C36:C45)</f>
        <v>7057</v>
      </c>
      <c r="D46">
        <f t="shared" si="29"/>
        <v>2017</v>
      </c>
      <c r="E46">
        <f t="shared" si="29"/>
        <v>1423</v>
      </c>
      <c r="F46">
        <f t="shared" si="29"/>
        <v>56829</v>
      </c>
      <c r="G46">
        <f t="shared" si="29"/>
        <v>23037</v>
      </c>
      <c r="H46">
        <f t="shared" si="29"/>
        <v>16958</v>
      </c>
      <c r="I46">
        <f t="shared" si="29"/>
        <v>1688</v>
      </c>
      <c r="J46">
        <f t="shared" si="29"/>
        <v>270</v>
      </c>
      <c r="K46">
        <f t="shared" si="29"/>
        <v>1164</v>
      </c>
      <c r="L46">
        <f t="shared" si="29"/>
        <v>8283</v>
      </c>
      <c r="M46">
        <f t="shared" si="29"/>
        <v>2411</v>
      </c>
      <c r="N46">
        <f t="shared" si="29"/>
        <v>0</v>
      </c>
      <c r="O46">
        <f t="shared" si="29"/>
        <v>0</v>
      </c>
      <c r="P46">
        <f t="shared" si="29"/>
        <v>0</v>
      </c>
      <c r="Q46">
        <f t="shared" si="29"/>
        <v>0</v>
      </c>
      <c r="R46">
        <f t="shared" si="29"/>
        <v>4837</v>
      </c>
      <c r="S46">
        <f t="shared" si="29"/>
        <v>1681</v>
      </c>
      <c r="T46">
        <f t="shared" si="29"/>
        <v>1508</v>
      </c>
      <c r="U46">
        <f t="shared" si="29"/>
        <v>12994</v>
      </c>
      <c r="V46">
        <f t="shared" si="29"/>
        <v>36420</v>
      </c>
      <c r="W46">
        <f t="shared" si="29"/>
        <v>3030</v>
      </c>
      <c r="X46">
        <f t="shared" si="29"/>
        <v>8631</v>
      </c>
      <c r="Y46">
        <f t="shared" si="29"/>
        <v>70347</v>
      </c>
      <c r="Z46">
        <f t="shared" si="25"/>
        <v>139448</v>
      </c>
      <c r="AB46" s="10">
        <f t="shared" si="26"/>
        <v>5.7555504560839882E-2</v>
      </c>
      <c r="AC46" s="10">
        <f t="shared" si="27"/>
        <v>9.318168779760197E-2</v>
      </c>
      <c r="AD46" s="10">
        <f t="shared" si="28"/>
        <v>0.26117262348689119</v>
      </c>
    </row>
    <row r="47" spans="1:37" ht="15" x14ac:dyDescent="0.4">
      <c r="A47" s="11" t="s">
        <v>637</v>
      </c>
      <c r="B47" s="37">
        <v>0</v>
      </c>
      <c r="C47" s="37">
        <v>10</v>
      </c>
      <c r="D47" s="37">
        <v>9</v>
      </c>
      <c r="E47" s="37">
        <v>7</v>
      </c>
      <c r="F47" s="37">
        <v>89</v>
      </c>
      <c r="G47" s="37">
        <v>47</v>
      </c>
      <c r="H47" s="37">
        <v>92</v>
      </c>
      <c r="I47" s="37">
        <v>9</v>
      </c>
      <c r="J47" s="37">
        <v>0</v>
      </c>
      <c r="K47" s="37">
        <v>0</v>
      </c>
      <c r="L47" s="37">
        <v>22</v>
      </c>
      <c r="M47" s="37">
        <v>8</v>
      </c>
      <c r="N47" s="37">
        <v>0</v>
      </c>
      <c r="O47" s="37">
        <v>0</v>
      </c>
      <c r="P47" s="37">
        <v>0</v>
      </c>
      <c r="Q47" s="37">
        <v>0</v>
      </c>
      <c r="R47" s="37">
        <v>10</v>
      </c>
      <c r="S47" s="37">
        <v>3</v>
      </c>
      <c r="T47" s="37">
        <v>8</v>
      </c>
      <c r="U47" s="37">
        <v>41</v>
      </c>
      <c r="V47" s="37">
        <v>86</v>
      </c>
      <c r="W47" s="37">
        <v>6</v>
      </c>
      <c r="X47" s="37">
        <v>17</v>
      </c>
      <c r="Y47" s="37">
        <v>236</v>
      </c>
      <c r="Z47">
        <f t="shared" ref="Z47" si="30">SUM(N47:Y47)</f>
        <v>407</v>
      </c>
      <c r="AB47" s="10">
        <f t="shared" ref="AB47" si="31">(R47+S47+T47)/Z47</f>
        <v>5.1597051597051594E-2</v>
      </c>
      <c r="AC47" s="10">
        <f t="shared" ref="AC47" si="32">U47/Z47</f>
        <v>0.10073710073710074</v>
      </c>
      <c r="AD47" s="10">
        <f t="shared" ref="AD47" si="33">V47/Z47</f>
        <v>0.2113022113022113</v>
      </c>
    </row>
    <row r="49" spans="1:11" x14ac:dyDescent="0.35">
      <c r="A49" s="4" t="s">
        <v>416</v>
      </c>
    </row>
    <row r="50" spans="1:11" x14ac:dyDescent="0.35">
      <c r="B50" s="2" t="s">
        <v>6</v>
      </c>
      <c r="G50" t="s">
        <v>4</v>
      </c>
    </row>
    <row r="51" spans="1:11" x14ac:dyDescent="0.35">
      <c r="B51" t="s">
        <v>32</v>
      </c>
      <c r="C51" t="s">
        <v>33</v>
      </c>
      <c r="D51" t="s">
        <v>34</v>
      </c>
      <c r="E51" t="s">
        <v>35</v>
      </c>
      <c r="F51" t="s">
        <v>36</v>
      </c>
      <c r="G51" t="s">
        <v>32</v>
      </c>
      <c r="H51" t="s">
        <v>33</v>
      </c>
      <c r="I51" t="s">
        <v>34</v>
      </c>
      <c r="J51" t="s">
        <v>35</v>
      </c>
      <c r="K51" t="s">
        <v>36</v>
      </c>
    </row>
    <row r="52" spans="1:11" x14ac:dyDescent="0.35">
      <c r="A52" t="s">
        <v>7</v>
      </c>
      <c r="B52">
        <v>187</v>
      </c>
      <c r="C52" s="3">
        <v>6934</v>
      </c>
      <c r="D52">
        <v>139</v>
      </c>
      <c r="E52">
        <v>43</v>
      </c>
      <c r="F52">
        <v>379</v>
      </c>
      <c r="G52" s="3">
        <v>4748</v>
      </c>
      <c r="H52" s="3">
        <v>2256</v>
      </c>
      <c r="I52">
        <v>838</v>
      </c>
      <c r="J52">
        <v>20</v>
      </c>
      <c r="K52">
        <v>453</v>
      </c>
    </row>
    <row r="53" spans="1:11" x14ac:dyDescent="0.35">
      <c r="A53" t="s">
        <v>8</v>
      </c>
      <c r="B53">
        <v>450</v>
      </c>
      <c r="C53" s="3">
        <v>22876</v>
      </c>
      <c r="D53">
        <v>262</v>
      </c>
      <c r="E53">
        <v>131</v>
      </c>
      <c r="F53" s="3">
        <v>1052</v>
      </c>
      <c r="G53" s="3">
        <v>14635</v>
      </c>
      <c r="H53" s="3">
        <v>10360</v>
      </c>
      <c r="I53" s="3">
        <v>2570</v>
      </c>
      <c r="J53">
        <v>61</v>
      </c>
      <c r="K53" s="3">
        <v>1440</v>
      </c>
    </row>
    <row r="54" spans="1:11" x14ac:dyDescent="0.35">
      <c r="A54" t="s">
        <v>9</v>
      </c>
      <c r="B54">
        <v>346</v>
      </c>
      <c r="C54" s="3">
        <v>14918</v>
      </c>
      <c r="D54">
        <v>160</v>
      </c>
      <c r="E54">
        <v>83</v>
      </c>
      <c r="F54">
        <v>832</v>
      </c>
      <c r="G54" s="3">
        <v>9884</v>
      </c>
      <c r="H54" s="3">
        <v>7622</v>
      </c>
      <c r="I54" s="3">
        <v>1657</v>
      </c>
      <c r="J54">
        <v>50</v>
      </c>
      <c r="K54" s="3">
        <v>1074</v>
      </c>
    </row>
    <row r="55" spans="1:11" x14ac:dyDescent="0.35">
      <c r="A55" t="s">
        <v>10</v>
      </c>
      <c r="B55">
        <v>232</v>
      </c>
      <c r="C55" s="3">
        <v>10283</v>
      </c>
      <c r="D55">
        <v>124</v>
      </c>
      <c r="E55">
        <v>68</v>
      </c>
      <c r="F55">
        <v>539</v>
      </c>
      <c r="G55" s="3">
        <v>6285</v>
      </c>
      <c r="H55" s="3">
        <v>3885</v>
      </c>
      <c r="I55">
        <v>999</v>
      </c>
      <c r="J55">
        <v>23</v>
      </c>
      <c r="K55">
        <v>894</v>
      </c>
    </row>
    <row r="56" spans="1:11" x14ac:dyDescent="0.35">
      <c r="A56" t="s">
        <v>11</v>
      </c>
      <c r="B56">
        <v>92</v>
      </c>
      <c r="C56" s="3">
        <v>3010</v>
      </c>
      <c r="D56">
        <v>67</v>
      </c>
      <c r="E56">
        <v>18</v>
      </c>
      <c r="F56">
        <v>233</v>
      </c>
      <c r="G56" s="3">
        <v>2111</v>
      </c>
      <c r="H56">
        <v>879</v>
      </c>
      <c r="I56">
        <v>323</v>
      </c>
      <c r="J56">
        <v>3</v>
      </c>
      <c r="K56">
        <v>246</v>
      </c>
    </row>
    <row r="57" spans="1:11" x14ac:dyDescent="0.35">
      <c r="A57" t="s">
        <v>12</v>
      </c>
      <c r="B57">
        <v>234</v>
      </c>
      <c r="C57" s="3">
        <v>9977</v>
      </c>
      <c r="D57">
        <v>182</v>
      </c>
      <c r="E57">
        <v>46</v>
      </c>
      <c r="F57">
        <v>504</v>
      </c>
      <c r="G57" s="3">
        <v>6103</v>
      </c>
      <c r="H57" s="3">
        <v>3117</v>
      </c>
      <c r="I57" s="3">
        <v>1021</v>
      </c>
      <c r="J57">
        <v>28</v>
      </c>
      <c r="K57">
        <v>579</v>
      </c>
    </row>
    <row r="58" spans="1:11" x14ac:dyDescent="0.35">
      <c r="A58" t="s">
        <v>13</v>
      </c>
      <c r="B58">
        <v>63</v>
      </c>
      <c r="C58" s="3">
        <v>5233</v>
      </c>
      <c r="D58">
        <v>57</v>
      </c>
      <c r="E58">
        <v>20</v>
      </c>
      <c r="F58">
        <v>180</v>
      </c>
      <c r="G58" s="3">
        <v>2419</v>
      </c>
      <c r="H58" s="3">
        <v>2510</v>
      </c>
      <c r="I58">
        <v>655</v>
      </c>
      <c r="J58">
        <v>8</v>
      </c>
      <c r="K58">
        <v>191</v>
      </c>
    </row>
    <row r="59" spans="1:11" x14ac:dyDescent="0.35">
      <c r="A59" t="s">
        <v>14</v>
      </c>
      <c r="B59">
        <v>221</v>
      </c>
      <c r="C59" s="3">
        <v>12863</v>
      </c>
      <c r="D59">
        <v>114</v>
      </c>
      <c r="E59">
        <v>88</v>
      </c>
      <c r="F59">
        <v>543</v>
      </c>
      <c r="G59" s="3">
        <v>8498</v>
      </c>
      <c r="H59" s="3">
        <v>7467</v>
      </c>
      <c r="I59" s="3">
        <v>1477</v>
      </c>
      <c r="J59">
        <v>49</v>
      </c>
      <c r="K59">
        <v>876</v>
      </c>
    </row>
    <row r="60" spans="1:11" x14ac:dyDescent="0.35">
      <c r="A60" t="s">
        <v>15</v>
      </c>
      <c r="B60">
        <v>314</v>
      </c>
      <c r="C60" s="3">
        <v>14498</v>
      </c>
      <c r="D60">
        <v>147</v>
      </c>
      <c r="E60">
        <v>81</v>
      </c>
      <c r="F60">
        <v>714</v>
      </c>
      <c r="G60" s="3">
        <v>8792</v>
      </c>
      <c r="H60" s="3">
        <v>6852</v>
      </c>
      <c r="I60" s="3">
        <v>1479</v>
      </c>
      <c r="J60">
        <v>40</v>
      </c>
      <c r="K60" s="3">
        <v>1169</v>
      </c>
    </row>
    <row r="61" spans="1:11" x14ac:dyDescent="0.35">
      <c r="A61" t="s">
        <v>16</v>
      </c>
      <c r="B61">
        <v>272</v>
      </c>
      <c r="C61" s="3">
        <v>10678</v>
      </c>
      <c r="D61">
        <v>154</v>
      </c>
      <c r="E61">
        <v>50</v>
      </c>
      <c r="F61">
        <v>451</v>
      </c>
      <c r="G61" s="3">
        <v>6872</v>
      </c>
      <c r="H61" s="3">
        <v>3822</v>
      </c>
      <c r="I61" s="3">
        <v>1489</v>
      </c>
      <c r="J61">
        <v>25</v>
      </c>
      <c r="K61">
        <v>568</v>
      </c>
    </row>
    <row r="62" spans="1:11" ht="15" x14ac:dyDescent="0.4">
      <c r="A62" s="11" t="s">
        <v>567</v>
      </c>
      <c r="B62">
        <f>SUM(B52:B61)</f>
        <v>2411</v>
      </c>
      <c r="C62">
        <f t="shared" ref="C62:K62" si="34">SUM(C52:C61)</f>
        <v>111270</v>
      </c>
      <c r="D62">
        <f t="shared" si="34"/>
        <v>1406</v>
      </c>
      <c r="E62">
        <f t="shared" si="34"/>
        <v>628</v>
      </c>
      <c r="F62">
        <f t="shared" si="34"/>
        <v>5427</v>
      </c>
      <c r="G62">
        <f t="shared" si="34"/>
        <v>70347</v>
      </c>
      <c r="H62">
        <f t="shared" si="34"/>
        <v>48770</v>
      </c>
      <c r="I62">
        <f t="shared" si="34"/>
        <v>12508</v>
      </c>
      <c r="J62">
        <f t="shared" si="34"/>
        <v>307</v>
      </c>
      <c r="K62">
        <f t="shared" si="34"/>
        <v>7490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>
      <selection activeCell="Q57" sqref="Q57"/>
    </sheetView>
  </sheetViews>
  <sheetFormatPr defaultRowHeight="14.5" x14ac:dyDescent="0.35"/>
  <sheetData>
    <row r="1" spans="1:24" x14ac:dyDescent="0.35">
      <c r="A1" s="4" t="s">
        <v>77</v>
      </c>
      <c r="C1" s="5" t="s">
        <v>342</v>
      </c>
    </row>
    <row r="2" spans="1:24" x14ac:dyDescent="0.35">
      <c r="A2" s="4" t="s">
        <v>60</v>
      </c>
    </row>
    <row r="3" spans="1:24" x14ac:dyDescent="0.35">
      <c r="B3" t="s">
        <v>54</v>
      </c>
      <c r="C3" t="s">
        <v>55</v>
      </c>
      <c r="D3" t="s">
        <v>56</v>
      </c>
      <c r="E3" t="s">
        <v>57</v>
      </c>
      <c r="F3" s="3" t="s">
        <v>58</v>
      </c>
      <c r="G3" t="s">
        <v>59</v>
      </c>
      <c r="H3" s="3" t="s">
        <v>28</v>
      </c>
      <c r="I3" s="3" t="s">
        <v>29</v>
      </c>
      <c r="J3" s="3"/>
      <c r="K3" s="3" t="s">
        <v>580</v>
      </c>
      <c r="L3" s="3" t="s">
        <v>581</v>
      </c>
      <c r="M3" s="3" t="s">
        <v>590</v>
      </c>
      <c r="N3" s="3" t="s">
        <v>591</v>
      </c>
      <c r="Q3" s="3"/>
      <c r="R3" s="3"/>
      <c r="V3" s="3"/>
      <c r="X3" s="3"/>
    </row>
    <row r="4" spans="1:24" x14ac:dyDescent="0.35">
      <c r="A4" t="s">
        <v>7</v>
      </c>
      <c r="B4" s="3">
        <v>3119</v>
      </c>
      <c r="C4" s="3">
        <v>3349</v>
      </c>
      <c r="D4">
        <v>371</v>
      </c>
      <c r="E4">
        <v>420</v>
      </c>
      <c r="F4" s="3">
        <v>590</v>
      </c>
      <c r="G4" s="3">
        <v>3677</v>
      </c>
      <c r="H4" s="3">
        <v>647</v>
      </c>
      <c r="I4" s="3">
        <v>0</v>
      </c>
      <c r="J4" s="3">
        <f>SUM(B4:H4)</f>
        <v>12173</v>
      </c>
      <c r="K4" s="10">
        <f>B4/J4</f>
        <v>0.25622278813768173</v>
      </c>
      <c r="L4" s="10">
        <f>C4/J4</f>
        <v>0.27511706235110489</v>
      </c>
      <c r="M4" s="10">
        <f>(E4+F4)/J4</f>
        <v>8.2970508502423393E-2</v>
      </c>
      <c r="N4" s="10">
        <f>G4/J4</f>
        <v>0.30206194035981271</v>
      </c>
      <c r="O4" s="3"/>
      <c r="Q4" s="3"/>
      <c r="R4" s="3"/>
      <c r="T4" s="3"/>
      <c r="U4" s="3"/>
      <c r="V4" s="3"/>
      <c r="W4" s="3"/>
      <c r="X4" s="3"/>
    </row>
    <row r="5" spans="1:24" x14ac:dyDescent="0.35">
      <c r="A5" t="s">
        <v>8</v>
      </c>
      <c r="B5" s="3">
        <v>8424</v>
      </c>
      <c r="C5" s="3">
        <v>11223</v>
      </c>
      <c r="D5" s="3">
        <v>1143</v>
      </c>
      <c r="E5" s="3">
        <v>1559</v>
      </c>
      <c r="F5" s="3">
        <v>2645</v>
      </c>
      <c r="G5" s="3">
        <v>14741</v>
      </c>
      <c r="H5" s="3">
        <v>1898</v>
      </c>
      <c r="I5" s="3">
        <v>0</v>
      </c>
      <c r="J5" s="3">
        <f t="shared" ref="J5:J13" si="0">SUM(B5:H5)</f>
        <v>41633</v>
      </c>
      <c r="K5" s="10">
        <f t="shared" ref="K5:K13" si="1">B5/J5</f>
        <v>0.202339490308169</v>
      </c>
      <c r="L5" s="10">
        <f t="shared" ref="L5:L13" si="2">C5/J5</f>
        <v>0.26956981240842603</v>
      </c>
      <c r="M5" s="10">
        <f t="shared" ref="M5:M13" si="3">(E5+F5)/J5</f>
        <v>0.10097758989263325</v>
      </c>
      <c r="N5" s="10">
        <f t="shared" ref="N5:N13" si="4">G5/J5</f>
        <v>0.35407008863161432</v>
      </c>
      <c r="Q5" s="3"/>
      <c r="R5" s="3"/>
      <c r="V5" s="3"/>
      <c r="X5" s="3"/>
    </row>
    <row r="6" spans="1:24" x14ac:dyDescent="0.35">
      <c r="A6" t="s">
        <v>9</v>
      </c>
      <c r="B6" s="3">
        <v>4938</v>
      </c>
      <c r="C6" s="3">
        <v>7116</v>
      </c>
      <c r="D6">
        <v>838</v>
      </c>
      <c r="E6" s="3">
        <v>1199</v>
      </c>
      <c r="F6" s="3">
        <v>1694</v>
      </c>
      <c r="G6" s="3">
        <v>11317</v>
      </c>
      <c r="H6" s="3">
        <v>1483</v>
      </c>
      <c r="I6" s="3">
        <v>0</v>
      </c>
      <c r="J6" s="3">
        <f t="shared" si="0"/>
        <v>28585</v>
      </c>
      <c r="K6" s="10">
        <f t="shared" si="1"/>
        <v>0.17274794472625504</v>
      </c>
      <c r="L6" s="10">
        <f t="shared" si="2"/>
        <v>0.24894175266748295</v>
      </c>
      <c r="M6" s="10">
        <f t="shared" si="3"/>
        <v>0.10120692670981284</v>
      </c>
      <c r="N6" s="10">
        <f t="shared" si="4"/>
        <v>0.3959069442015043</v>
      </c>
      <c r="Q6" s="3"/>
      <c r="R6" s="3"/>
      <c r="V6" s="3"/>
      <c r="X6" s="3"/>
    </row>
    <row r="7" spans="1:24" x14ac:dyDescent="0.35">
      <c r="A7" t="s">
        <v>10</v>
      </c>
      <c r="B7" s="3">
        <v>3482</v>
      </c>
      <c r="C7" s="3">
        <v>4594</v>
      </c>
      <c r="D7">
        <v>497</v>
      </c>
      <c r="E7">
        <v>781</v>
      </c>
      <c r="F7" s="3">
        <v>984</v>
      </c>
      <c r="G7" s="3">
        <v>6226</v>
      </c>
      <c r="H7" s="3">
        <v>936</v>
      </c>
      <c r="I7" s="3">
        <v>0</v>
      </c>
      <c r="J7" s="3">
        <f t="shared" si="0"/>
        <v>17500</v>
      </c>
      <c r="K7" s="10">
        <f t="shared" si="1"/>
        <v>0.19897142857142858</v>
      </c>
      <c r="L7" s="10">
        <f t="shared" si="2"/>
        <v>0.2625142857142857</v>
      </c>
      <c r="M7" s="10">
        <f t="shared" si="3"/>
        <v>0.10085714285714285</v>
      </c>
      <c r="N7" s="10">
        <f t="shared" si="4"/>
        <v>0.35577142857142857</v>
      </c>
      <c r="Q7" s="3"/>
      <c r="R7" s="3"/>
      <c r="V7" s="3"/>
      <c r="X7" s="3"/>
    </row>
    <row r="8" spans="1:24" x14ac:dyDescent="0.35">
      <c r="A8" t="s">
        <v>11</v>
      </c>
      <c r="B8" s="3">
        <v>1273</v>
      </c>
      <c r="C8" s="3">
        <v>1260</v>
      </c>
      <c r="D8">
        <v>190</v>
      </c>
      <c r="E8">
        <v>178</v>
      </c>
      <c r="F8" s="3">
        <v>170</v>
      </c>
      <c r="G8" s="3">
        <v>1919</v>
      </c>
      <c r="H8" s="3">
        <v>365</v>
      </c>
      <c r="I8" s="3">
        <v>0</v>
      </c>
      <c r="J8" s="3">
        <f t="shared" si="0"/>
        <v>5355</v>
      </c>
      <c r="K8" s="10">
        <f t="shared" si="1"/>
        <v>0.23772175536881418</v>
      </c>
      <c r="L8" s="10">
        <f t="shared" si="2"/>
        <v>0.23529411764705882</v>
      </c>
      <c r="M8" s="10">
        <f t="shared" si="3"/>
        <v>6.4985994397759109E-2</v>
      </c>
      <c r="N8" s="10">
        <f t="shared" si="4"/>
        <v>0.35835667600373483</v>
      </c>
      <c r="Q8" s="3"/>
      <c r="R8" s="3"/>
      <c r="V8" s="3"/>
      <c r="X8" s="3"/>
    </row>
    <row r="9" spans="1:24" x14ac:dyDescent="0.35">
      <c r="A9" t="s">
        <v>12</v>
      </c>
      <c r="B9" s="3">
        <v>3932</v>
      </c>
      <c r="C9" s="3">
        <v>5258</v>
      </c>
      <c r="D9">
        <v>541</v>
      </c>
      <c r="E9">
        <v>435</v>
      </c>
      <c r="F9" s="3">
        <v>688</v>
      </c>
      <c r="G9" s="3">
        <v>4702</v>
      </c>
      <c r="H9" s="3">
        <v>793</v>
      </c>
      <c r="I9" s="3">
        <v>0</v>
      </c>
      <c r="J9" s="3">
        <f t="shared" si="0"/>
        <v>16349</v>
      </c>
      <c r="K9" s="10">
        <f t="shared" si="1"/>
        <v>0.24050400636124533</v>
      </c>
      <c r="L9" s="10">
        <f t="shared" si="2"/>
        <v>0.32160988439659915</v>
      </c>
      <c r="M9" s="10">
        <f t="shared" si="3"/>
        <v>6.8689216465838893E-2</v>
      </c>
      <c r="N9" s="10">
        <f t="shared" si="4"/>
        <v>0.28760168817664689</v>
      </c>
      <c r="Q9" s="3"/>
      <c r="R9" s="3"/>
      <c r="U9" s="3"/>
      <c r="V9" s="3"/>
      <c r="W9" s="3"/>
      <c r="X9" s="3"/>
    </row>
    <row r="10" spans="1:24" x14ac:dyDescent="0.35">
      <c r="A10" t="s">
        <v>13</v>
      </c>
      <c r="B10" s="3">
        <v>1716</v>
      </c>
      <c r="C10" s="3">
        <v>3106</v>
      </c>
      <c r="D10">
        <v>208</v>
      </c>
      <c r="E10">
        <v>176</v>
      </c>
      <c r="F10" s="3">
        <v>473</v>
      </c>
      <c r="G10" s="3">
        <v>2592</v>
      </c>
      <c r="H10" s="3">
        <v>283</v>
      </c>
      <c r="I10" s="3">
        <v>0</v>
      </c>
      <c r="J10" s="3">
        <f t="shared" si="0"/>
        <v>8554</v>
      </c>
      <c r="K10" s="10">
        <f t="shared" si="1"/>
        <v>0.20060790273556231</v>
      </c>
      <c r="L10" s="10">
        <f t="shared" si="2"/>
        <v>0.36310498012625675</v>
      </c>
      <c r="M10" s="10">
        <f t="shared" si="3"/>
        <v>7.5870937573065234E-2</v>
      </c>
      <c r="N10" s="10">
        <f t="shared" si="4"/>
        <v>0.30301613280336687</v>
      </c>
      <c r="Q10" s="3"/>
      <c r="R10" s="3"/>
      <c r="T10" s="3"/>
      <c r="U10" s="3"/>
      <c r="V10" s="3"/>
      <c r="W10" s="3"/>
      <c r="X10" s="3"/>
    </row>
    <row r="11" spans="1:24" x14ac:dyDescent="0.35">
      <c r="A11" t="s">
        <v>14</v>
      </c>
      <c r="B11" s="3">
        <v>4648</v>
      </c>
      <c r="C11" s="3">
        <v>7017</v>
      </c>
      <c r="D11">
        <v>715</v>
      </c>
      <c r="E11">
        <v>935</v>
      </c>
      <c r="F11" s="3">
        <v>1491</v>
      </c>
      <c r="G11" s="3">
        <v>9212</v>
      </c>
      <c r="H11" s="3">
        <v>1109</v>
      </c>
      <c r="I11" s="3">
        <v>0</v>
      </c>
      <c r="J11" s="3">
        <f t="shared" si="0"/>
        <v>25127</v>
      </c>
      <c r="K11" s="10">
        <f t="shared" si="1"/>
        <v>0.18498030007561586</v>
      </c>
      <c r="L11" s="10">
        <f t="shared" si="2"/>
        <v>0.27926135233016275</v>
      </c>
      <c r="M11" s="10">
        <f t="shared" si="3"/>
        <v>9.6549528395749595E-2</v>
      </c>
      <c r="N11" s="10">
        <f t="shared" si="4"/>
        <v>0.36661758267998568</v>
      </c>
      <c r="Q11" s="3"/>
      <c r="R11" s="3"/>
      <c r="V11" s="3"/>
      <c r="X11" s="3"/>
    </row>
    <row r="12" spans="1:24" x14ac:dyDescent="0.35">
      <c r="A12" t="s">
        <v>15</v>
      </c>
      <c r="B12" s="3">
        <v>4565</v>
      </c>
      <c r="C12" s="3">
        <v>7018</v>
      </c>
      <c r="D12">
        <v>692</v>
      </c>
      <c r="E12" s="3">
        <v>1158</v>
      </c>
      <c r="F12" s="3">
        <v>1706</v>
      </c>
      <c r="G12" s="3">
        <v>9672</v>
      </c>
      <c r="H12" s="3">
        <v>1310</v>
      </c>
      <c r="I12">
        <v>0</v>
      </c>
      <c r="J12" s="3">
        <f t="shared" si="0"/>
        <v>26121</v>
      </c>
      <c r="K12" s="10">
        <f t="shared" si="1"/>
        <v>0.17476360016844683</v>
      </c>
      <c r="L12" s="10">
        <f t="shared" si="2"/>
        <v>0.26867271543968452</v>
      </c>
      <c r="M12" s="10">
        <f t="shared" si="3"/>
        <v>0.10964358179242754</v>
      </c>
      <c r="N12" s="10">
        <f t="shared" si="4"/>
        <v>0.37027678879062825</v>
      </c>
    </row>
    <row r="13" spans="1:24" x14ac:dyDescent="0.35">
      <c r="A13" t="s">
        <v>16</v>
      </c>
      <c r="B13" s="3">
        <v>4599</v>
      </c>
      <c r="C13" s="3">
        <v>5767</v>
      </c>
      <c r="D13">
        <v>567</v>
      </c>
      <c r="E13">
        <v>533</v>
      </c>
      <c r="F13">
        <v>898</v>
      </c>
      <c r="G13" s="3">
        <v>5561</v>
      </c>
      <c r="H13">
        <v>756</v>
      </c>
      <c r="I13">
        <v>0</v>
      </c>
      <c r="J13" s="3">
        <f t="shared" si="0"/>
        <v>18681</v>
      </c>
      <c r="K13" s="10">
        <f t="shared" si="1"/>
        <v>0.2461859643488036</v>
      </c>
      <c r="L13" s="10">
        <f t="shared" si="2"/>
        <v>0.30870938386596009</v>
      </c>
      <c r="M13" s="10">
        <f t="shared" si="3"/>
        <v>7.6601894973502491E-2</v>
      </c>
      <c r="N13" s="10">
        <f t="shared" si="4"/>
        <v>0.29768213693057116</v>
      </c>
    </row>
    <row r="14" spans="1:24" ht="15" x14ac:dyDescent="0.4">
      <c r="A14" s="11" t="s">
        <v>567</v>
      </c>
      <c r="B14" s="3">
        <f>SUM(B4:B13)</f>
        <v>40696</v>
      </c>
      <c r="C14" s="3">
        <f t="shared" ref="C14:I14" si="5">SUM(C4:C13)</f>
        <v>55708</v>
      </c>
      <c r="D14" s="3">
        <f t="shared" si="5"/>
        <v>5762</v>
      </c>
      <c r="E14" s="3">
        <f t="shared" si="5"/>
        <v>7374</v>
      </c>
      <c r="F14" s="3">
        <f t="shared" si="5"/>
        <v>11339</v>
      </c>
      <c r="G14" s="3">
        <f t="shared" si="5"/>
        <v>69619</v>
      </c>
      <c r="H14" s="3">
        <f t="shared" si="5"/>
        <v>9580</v>
      </c>
      <c r="I14" s="3">
        <f t="shared" si="5"/>
        <v>0</v>
      </c>
      <c r="J14" s="3">
        <f t="shared" ref="J14" si="6">SUM(B14:H14)</f>
        <v>200078</v>
      </c>
      <c r="K14" s="10">
        <f t="shared" ref="K14" si="7">B14/J14</f>
        <v>0.20340067373724247</v>
      </c>
      <c r="L14" s="10">
        <f t="shared" ref="L14" si="8">C14/J14</f>
        <v>0.27843141174941771</v>
      </c>
      <c r="M14" s="10">
        <f t="shared" ref="M14" si="9">(E14+F14)/J14</f>
        <v>9.3528523875688482E-2</v>
      </c>
      <c r="N14" s="10">
        <f t="shared" ref="N14" si="10">G14/J14</f>
        <v>0.34795929587460889</v>
      </c>
    </row>
    <row r="15" spans="1:24" ht="15" x14ac:dyDescent="0.4">
      <c r="A15" s="11" t="s">
        <v>637</v>
      </c>
      <c r="B15" s="37">
        <v>165</v>
      </c>
      <c r="C15" s="37">
        <v>160</v>
      </c>
      <c r="D15" s="37">
        <v>8</v>
      </c>
      <c r="E15" s="37">
        <v>25</v>
      </c>
      <c r="F15" s="37">
        <v>23</v>
      </c>
      <c r="G15" s="37">
        <v>162</v>
      </c>
      <c r="H15" s="37">
        <v>19</v>
      </c>
      <c r="I15" s="37">
        <v>0</v>
      </c>
      <c r="J15" s="3">
        <f t="shared" ref="J15" si="11">SUM(B15:H15)</f>
        <v>562</v>
      </c>
      <c r="K15" s="10">
        <f t="shared" ref="K15" si="12">B15/J15</f>
        <v>0.29359430604982206</v>
      </c>
      <c r="L15" s="10">
        <f t="shared" ref="L15" si="13">C15/J15</f>
        <v>0.28469750889679718</v>
      </c>
      <c r="M15" s="10">
        <f t="shared" ref="M15" si="14">(E15+F15)/J15</f>
        <v>8.5409252669039148E-2</v>
      </c>
      <c r="N15" s="10">
        <f t="shared" ref="N15" si="15">G15/J15</f>
        <v>0.28825622775800713</v>
      </c>
    </row>
    <row r="16" spans="1:24" ht="14" customHeight="1" x14ac:dyDescent="0.35"/>
    <row r="17" spans="1:25" x14ac:dyDescent="0.35">
      <c r="A17" s="4" t="s">
        <v>76</v>
      </c>
    </row>
    <row r="18" spans="1:25" x14ac:dyDescent="0.35">
      <c r="B18" t="s">
        <v>61</v>
      </c>
      <c r="C18" t="s">
        <v>62</v>
      </c>
      <c r="D18" t="s">
        <v>63</v>
      </c>
      <c r="E18" t="s">
        <v>64</v>
      </c>
      <c r="F18" t="s">
        <v>65</v>
      </c>
      <c r="G18" t="s">
        <v>66</v>
      </c>
      <c r="H18" t="s">
        <v>67</v>
      </c>
      <c r="I18" t="s">
        <v>68</v>
      </c>
      <c r="J18" t="s">
        <v>69</v>
      </c>
      <c r="K18" t="s">
        <v>70</v>
      </c>
      <c r="L18" t="s">
        <v>71</v>
      </c>
      <c r="M18" t="s">
        <v>72</v>
      </c>
      <c r="N18" t="s">
        <v>73</v>
      </c>
      <c r="O18" t="s">
        <v>74</v>
      </c>
      <c r="P18" t="s">
        <v>75</v>
      </c>
      <c r="Q18" t="s">
        <v>28</v>
      </c>
      <c r="R18" t="s">
        <v>29</v>
      </c>
      <c r="T18" t="s">
        <v>595</v>
      </c>
      <c r="U18" t="s">
        <v>592</v>
      </c>
      <c r="V18" t="s">
        <v>593</v>
      </c>
      <c r="W18" t="s">
        <v>594</v>
      </c>
    </row>
    <row r="19" spans="1:25" x14ac:dyDescent="0.35">
      <c r="A19" t="s">
        <v>7</v>
      </c>
      <c r="B19">
        <v>115</v>
      </c>
      <c r="C19" s="3">
        <v>3094</v>
      </c>
      <c r="D19" s="3">
        <v>1755</v>
      </c>
      <c r="E19" s="3">
        <v>1136</v>
      </c>
      <c r="F19">
        <v>645</v>
      </c>
      <c r="G19">
        <v>715</v>
      </c>
      <c r="H19">
        <v>997</v>
      </c>
      <c r="I19">
        <v>984</v>
      </c>
      <c r="J19">
        <v>832</v>
      </c>
      <c r="K19">
        <v>486</v>
      </c>
      <c r="L19">
        <v>179</v>
      </c>
      <c r="M19">
        <v>67</v>
      </c>
      <c r="N19">
        <v>23</v>
      </c>
      <c r="O19">
        <v>29</v>
      </c>
      <c r="P19">
        <v>21</v>
      </c>
      <c r="Q19" s="3">
        <v>1089</v>
      </c>
      <c r="R19">
        <v>0</v>
      </c>
      <c r="S19">
        <f>SUM(B19:Q19)</f>
        <v>12167</v>
      </c>
      <c r="T19" s="10">
        <f>(B19+C19)/S19</f>
        <v>0.26374619873428123</v>
      </c>
      <c r="U19" s="10">
        <f>(D19+E19+F19)/S19</f>
        <v>0.29062217473493879</v>
      </c>
      <c r="V19" s="10">
        <f>(G19+H19)/S19</f>
        <v>0.14070847374044546</v>
      </c>
      <c r="W19" s="10">
        <f>(SUM(I19:P19))/S19</f>
        <v>0.21541875565053012</v>
      </c>
    </row>
    <row r="20" spans="1:25" x14ac:dyDescent="0.35">
      <c r="A20" t="s">
        <v>8</v>
      </c>
      <c r="B20">
        <v>651</v>
      </c>
      <c r="C20" s="3">
        <v>12429</v>
      </c>
      <c r="D20" s="3">
        <v>6284</v>
      </c>
      <c r="E20" s="3">
        <v>4343</v>
      </c>
      <c r="F20" s="3">
        <v>2298</v>
      </c>
      <c r="G20" s="3">
        <v>2253</v>
      </c>
      <c r="H20" s="3">
        <v>2686</v>
      </c>
      <c r="I20" s="3">
        <v>2813</v>
      </c>
      <c r="J20" s="3">
        <v>2396</v>
      </c>
      <c r="K20" s="3">
        <v>1378</v>
      </c>
      <c r="L20">
        <v>461</v>
      </c>
      <c r="M20">
        <v>174</v>
      </c>
      <c r="N20">
        <v>69</v>
      </c>
      <c r="O20">
        <v>60</v>
      </c>
      <c r="P20">
        <v>75</v>
      </c>
      <c r="Q20" s="3">
        <v>3250</v>
      </c>
      <c r="R20">
        <v>0</v>
      </c>
      <c r="S20">
        <f t="shared" ref="S20:S28" si="16">SUM(B20:Q20)</f>
        <v>41620</v>
      </c>
      <c r="T20" s="10">
        <f t="shared" ref="T20:T28" si="17">(B20+C20)/S20</f>
        <v>0.3142719846227775</v>
      </c>
      <c r="U20" s="10">
        <f t="shared" ref="U20:U28" si="18">(D20+E20+F20)/S20</f>
        <v>0.31054781355117733</v>
      </c>
      <c r="V20" s="10">
        <f t="shared" ref="V20:V28" si="19">(G20+H20)/S20</f>
        <v>0.11866890917827967</v>
      </c>
      <c r="W20" s="10">
        <f t="shared" ref="W20:W28" si="20">(SUM(I20:P20))/S20</f>
        <v>0.17842383469485823</v>
      </c>
    </row>
    <row r="21" spans="1:25" x14ac:dyDescent="0.35">
      <c r="A21" t="s">
        <v>9</v>
      </c>
      <c r="B21">
        <v>536</v>
      </c>
      <c r="C21" s="3">
        <v>7920</v>
      </c>
      <c r="D21" s="3">
        <v>4703</v>
      </c>
      <c r="E21" s="3">
        <v>3355</v>
      </c>
      <c r="F21" s="3">
        <v>1632</v>
      </c>
      <c r="G21" s="3">
        <v>1566</v>
      </c>
      <c r="H21" s="3">
        <v>1748</v>
      </c>
      <c r="I21" s="3">
        <v>1742</v>
      </c>
      <c r="J21" s="3">
        <v>1477</v>
      </c>
      <c r="K21">
        <v>914</v>
      </c>
      <c r="L21">
        <v>297</v>
      </c>
      <c r="M21">
        <v>123</v>
      </c>
      <c r="N21">
        <v>51</v>
      </c>
      <c r="O21">
        <v>44</v>
      </c>
      <c r="P21">
        <v>34</v>
      </c>
      <c r="Q21" s="3">
        <v>2443</v>
      </c>
      <c r="R21">
        <v>0</v>
      </c>
      <c r="S21">
        <f t="shared" si="16"/>
        <v>28585</v>
      </c>
      <c r="T21" s="10">
        <f t="shared" si="17"/>
        <v>0.29581948574427147</v>
      </c>
      <c r="U21" s="10">
        <f t="shared" si="18"/>
        <v>0.33898898023438867</v>
      </c>
      <c r="V21" s="10">
        <f t="shared" si="19"/>
        <v>0.11593493090781878</v>
      </c>
      <c r="W21" s="10">
        <f t="shared" si="20"/>
        <v>0.16379219870561484</v>
      </c>
    </row>
    <row r="22" spans="1:25" x14ac:dyDescent="0.35">
      <c r="A22" t="s">
        <v>10</v>
      </c>
      <c r="B22">
        <v>280</v>
      </c>
      <c r="C22" s="3">
        <v>4965</v>
      </c>
      <c r="D22" s="3">
        <v>2595</v>
      </c>
      <c r="E22" s="3">
        <v>1857</v>
      </c>
      <c r="F22">
        <v>959</v>
      </c>
      <c r="G22">
        <v>946</v>
      </c>
      <c r="H22" s="3">
        <v>1054</v>
      </c>
      <c r="I22" s="3">
        <v>1159</v>
      </c>
      <c r="J22">
        <v>956</v>
      </c>
      <c r="K22">
        <v>606</v>
      </c>
      <c r="L22">
        <v>235</v>
      </c>
      <c r="M22">
        <v>83</v>
      </c>
      <c r="N22">
        <v>30</v>
      </c>
      <c r="O22">
        <v>36</v>
      </c>
      <c r="P22">
        <v>33</v>
      </c>
      <c r="Q22" s="3">
        <v>1715</v>
      </c>
      <c r="R22">
        <v>0</v>
      </c>
      <c r="S22">
        <f t="shared" si="16"/>
        <v>17509</v>
      </c>
      <c r="T22" s="10">
        <f t="shared" si="17"/>
        <v>0.29956022616939859</v>
      </c>
      <c r="U22" s="10">
        <f t="shared" si="18"/>
        <v>0.30904106459535097</v>
      </c>
      <c r="V22" s="10">
        <f t="shared" si="19"/>
        <v>0.11422696898737791</v>
      </c>
      <c r="W22" s="10">
        <f t="shared" si="20"/>
        <v>0.17922211434119595</v>
      </c>
    </row>
    <row r="23" spans="1:25" x14ac:dyDescent="0.35">
      <c r="A23" t="s">
        <v>11</v>
      </c>
      <c r="B23">
        <v>60</v>
      </c>
      <c r="C23" s="3">
        <v>1371</v>
      </c>
      <c r="D23">
        <v>787</v>
      </c>
      <c r="E23">
        <v>469</v>
      </c>
      <c r="F23">
        <v>263</v>
      </c>
      <c r="G23">
        <v>309</v>
      </c>
      <c r="H23">
        <v>364</v>
      </c>
      <c r="I23">
        <v>425</v>
      </c>
      <c r="J23">
        <v>347</v>
      </c>
      <c r="K23">
        <v>169</v>
      </c>
      <c r="L23">
        <v>77</v>
      </c>
      <c r="M23">
        <v>35</v>
      </c>
      <c r="N23">
        <v>11</v>
      </c>
      <c r="O23">
        <v>11</v>
      </c>
      <c r="P23">
        <v>11</v>
      </c>
      <c r="Q23">
        <v>657</v>
      </c>
      <c r="R23">
        <v>0</v>
      </c>
      <c r="S23">
        <f t="shared" si="16"/>
        <v>5366</v>
      </c>
      <c r="T23" s="10">
        <f t="shared" si="17"/>
        <v>0.26667909057025718</v>
      </c>
      <c r="U23" s="10">
        <f t="shared" si="18"/>
        <v>0.28307864330972793</v>
      </c>
      <c r="V23" s="10">
        <f t="shared" si="19"/>
        <v>0.12541930674617965</v>
      </c>
      <c r="W23" s="10">
        <f t="shared" si="20"/>
        <v>0.20238538948937757</v>
      </c>
    </row>
    <row r="24" spans="1:25" x14ac:dyDescent="0.35">
      <c r="A24" t="s">
        <v>12</v>
      </c>
      <c r="B24">
        <v>98</v>
      </c>
      <c r="C24" s="3">
        <v>3930</v>
      </c>
      <c r="D24" s="3">
        <v>2856</v>
      </c>
      <c r="E24" s="3">
        <v>1533</v>
      </c>
      <c r="F24">
        <v>982</v>
      </c>
      <c r="G24" s="3">
        <v>1013</v>
      </c>
      <c r="H24" s="3">
        <v>1285</v>
      </c>
      <c r="I24" s="3">
        <v>1315</v>
      </c>
      <c r="J24" s="3">
        <v>1044</v>
      </c>
      <c r="K24">
        <v>521</v>
      </c>
      <c r="L24">
        <v>222</v>
      </c>
      <c r="M24">
        <v>80</v>
      </c>
      <c r="N24">
        <v>39</v>
      </c>
      <c r="O24">
        <v>21</v>
      </c>
      <c r="P24">
        <v>15</v>
      </c>
      <c r="Q24" s="3">
        <v>1401</v>
      </c>
      <c r="R24">
        <v>0</v>
      </c>
      <c r="S24">
        <f t="shared" si="16"/>
        <v>16355</v>
      </c>
      <c r="T24" s="10">
        <f t="shared" si="17"/>
        <v>0.24628553959033936</v>
      </c>
      <c r="U24" s="10">
        <f t="shared" si="18"/>
        <v>0.32840110058086214</v>
      </c>
      <c r="V24" s="10">
        <f t="shared" si="19"/>
        <v>0.14050749006420055</v>
      </c>
      <c r="W24" s="10">
        <f t="shared" si="20"/>
        <v>0.19914399266279426</v>
      </c>
    </row>
    <row r="25" spans="1:25" x14ac:dyDescent="0.35">
      <c r="A25" t="s">
        <v>13</v>
      </c>
      <c r="B25">
        <v>54</v>
      </c>
      <c r="C25" s="3">
        <v>2374</v>
      </c>
      <c r="D25" s="3">
        <v>1753</v>
      </c>
      <c r="E25">
        <v>956</v>
      </c>
      <c r="F25">
        <v>453</v>
      </c>
      <c r="G25">
        <v>478</v>
      </c>
      <c r="H25">
        <v>521</v>
      </c>
      <c r="I25">
        <v>458</v>
      </c>
      <c r="J25">
        <v>448</v>
      </c>
      <c r="K25">
        <v>314</v>
      </c>
      <c r="L25">
        <v>100</v>
      </c>
      <c r="M25">
        <v>49</v>
      </c>
      <c r="N25">
        <v>19</v>
      </c>
      <c r="O25">
        <v>19</v>
      </c>
      <c r="P25">
        <v>14</v>
      </c>
      <c r="Q25">
        <v>556</v>
      </c>
      <c r="R25">
        <v>0</v>
      </c>
      <c r="S25">
        <f t="shared" si="16"/>
        <v>8566</v>
      </c>
      <c r="T25" s="10">
        <f t="shared" si="17"/>
        <v>0.28344618258230214</v>
      </c>
      <c r="U25" s="10">
        <f t="shared" si="18"/>
        <v>0.36913378473032921</v>
      </c>
      <c r="V25" s="10">
        <f t="shared" si="19"/>
        <v>0.11662386177912679</v>
      </c>
      <c r="W25" s="10">
        <f t="shared" si="20"/>
        <v>0.16588839598412328</v>
      </c>
    </row>
    <row r="26" spans="1:25" x14ac:dyDescent="0.35">
      <c r="A26" t="s">
        <v>14</v>
      </c>
      <c r="B26">
        <v>354</v>
      </c>
      <c r="C26" s="3">
        <v>7193</v>
      </c>
      <c r="D26" s="3">
        <v>3841</v>
      </c>
      <c r="E26" s="3">
        <v>2781</v>
      </c>
      <c r="F26" s="3">
        <v>1551</v>
      </c>
      <c r="G26" s="3">
        <v>1460</v>
      </c>
      <c r="H26" s="3">
        <v>1653</v>
      </c>
      <c r="I26" s="3">
        <v>1649</v>
      </c>
      <c r="J26" s="3">
        <v>1391</v>
      </c>
      <c r="K26">
        <v>828</v>
      </c>
      <c r="L26">
        <v>256</v>
      </c>
      <c r="M26">
        <v>121</v>
      </c>
      <c r="N26">
        <v>41</v>
      </c>
      <c r="O26">
        <v>46</v>
      </c>
      <c r="P26">
        <v>25</v>
      </c>
      <c r="Q26" s="3">
        <v>1959</v>
      </c>
      <c r="R26">
        <v>0</v>
      </c>
      <c r="S26">
        <f t="shared" si="16"/>
        <v>25149</v>
      </c>
      <c r="T26" s="10">
        <f t="shared" si="17"/>
        <v>0.30009145492862538</v>
      </c>
      <c r="U26" s="10">
        <f t="shared" si="18"/>
        <v>0.32498310071971054</v>
      </c>
      <c r="V26" s="10">
        <f t="shared" si="19"/>
        <v>0.12378225774384667</v>
      </c>
      <c r="W26" s="10">
        <f t="shared" si="20"/>
        <v>0.17324744522645036</v>
      </c>
    </row>
    <row r="27" spans="1:25" x14ac:dyDescent="0.35">
      <c r="A27" t="s">
        <v>15</v>
      </c>
      <c r="B27">
        <v>424</v>
      </c>
      <c r="C27" s="3">
        <v>7988</v>
      </c>
      <c r="D27" s="3">
        <v>3866</v>
      </c>
      <c r="E27" s="3">
        <v>2821</v>
      </c>
      <c r="F27" s="3">
        <v>1458</v>
      </c>
      <c r="G27" s="3">
        <v>1405</v>
      </c>
      <c r="H27" s="3">
        <v>1524</v>
      </c>
      <c r="I27" s="3">
        <v>1559</v>
      </c>
      <c r="J27" s="3">
        <v>1461</v>
      </c>
      <c r="K27">
        <v>777</v>
      </c>
      <c r="L27">
        <v>296</v>
      </c>
      <c r="M27">
        <v>106</v>
      </c>
      <c r="N27">
        <v>41</v>
      </c>
      <c r="O27">
        <v>44</v>
      </c>
      <c r="P27">
        <v>28</v>
      </c>
      <c r="Q27" s="3">
        <v>2306</v>
      </c>
      <c r="R27">
        <v>0</v>
      </c>
      <c r="S27">
        <f t="shared" si="16"/>
        <v>26104</v>
      </c>
      <c r="T27" s="10">
        <f t="shared" si="17"/>
        <v>0.32224946368372664</v>
      </c>
      <c r="U27" s="10">
        <f t="shared" si="18"/>
        <v>0.31202114618449278</v>
      </c>
      <c r="V27" s="10">
        <f t="shared" si="19"/>
        <v>0.11220502604964756</v>
      </c>
      <c r="W27" s="10">
        <f t="shared" si="20"/>
        <v>0.16518541219736438</v>
      </c>
    </row>
    <row r="28" spans="1:25" x14ac:dyDescent="0.35">
      <c r="A28" t="s">
        <v>16</v>
      </c>
      <c r="B28">
        <v>147</v>
      </c>
      <c r="C28" s="3">
        <v>4724</v>
      </c>
      <c r="D28" s="3">
        <v>3013</v>
      </c>
      <c r="E28" s="3">
        <v>1995</v>
      </c>
      <c r="F28" s="3">
        <v>1087</v>
      </c>
      <c r="G28" s="3">
        <v>1240</v>
      </c>
      <c r="H28" s="3">
        <v>1426</v>
      </c>
      <c r="I28" s="3">
        <v>1330</v>
      </c>
      <c r="J28" s="3">
        <v>1175</v>
      </c>
      <c r="K28">
        <v>668</v>
      </c>
      <c r="L28">
        <v>228</v>
      </c>
      <c r="M28">
        <v>85</v>
      </c>
      <c r="N28">
        <v>42</v>
      </c>
      <c r="O28">
        <v>24</v>
      </c>
      <c r="P28">
        <v>21</v>
      </c>
      <c r="Q28" s="3">
        <v>1474</v>
      </c>
      <c r="R28">
        <v>0</v>
      </c>
      <c r="S28">
        <f t="shared" si="16"/>
        <v>18679</v>
      </c>
      <c r="T28" s="10">
        <f t="shared" si="17"/>
        <v>0.26077413137748273</v>
      </c>
      <c r="U28" s="10">
        <f t="shared" si="18"/>
        <v>0.3263022645751914</v>
      </c>
      <c r="V28" s="10">
        <f t="shared" si="19"/>
        <v>0.1427271267198458</v>
      </c>
      <c r="W28" s="10">
        <f t="shared" si="20"/>
        <v>0.19128432999625247</v>
      </c>
    </row>
    <row r="29" spans="1:25" ht="15" x14ac:dyDescent="0.4">
      <c r="A29" s="11" t="s">
        <v>567</v>
      </c>
      <c r="B29">
        <f>SUM(B19:B28)</f>
        <v>2719</v>
      </c>
      <c r="C29">
        <f t="shared" ref="C29:R29" si="21">SUM(C19:C28)</f>
        <v>55988</v>
      </c>
      <c r="D29">
        <f t="shared" si="21"/>
        <v>31453</v>
      </c>
      <c r="E29">
        <f t="shared" si="21"/>
        <v>21246</v>
      </c>
      <c r="F29">
        <f t="shared" si="21"/>
        <v>11328</v>
      </c>
      <c r="G29">
        <f t="shared" si="21"/>
        <v>11385</v>
      </c>
      <c r="H29">
        <f t="shared" si="21"/>
        <v>13258</v>
      </c>
      <c r="I29">
        <f t="shared" si="21"/>
        <v>13434</v>
      </c>
      <c r="J29">
        <f t="shared" si="21"/>
        <v>11527</v>
      </c>
      <c r="K29">
        <f t="shared" si="21"/>
        <v>6661</v>
      </c>
      <c r="L29">
        <f t="shared" si="21"/>
        <v>2351</v>
      </c>
      <c r="M29">
        <f t="shared" si="21"/>
        <v>923</v>
      </c>
      <c r="N29">
        <f t="shared" si="21"/>
        <v>366</v>
      </c>
      <c r="O29">
        <f t="shared" si="21"/>
        <v>334</v>
      </c>
      <c r="P29">
        <f t="shared" si="21"/>
        <v>277</v>
      </c>
      <c r="Q29">
        <f t="shared" si="21"/>
        <v>16850</v>
      </c>
      <c r="R29">
        <f t="shared" si="21"/>
        <v>0</v>
      </c>
      <c r="S29">
        <f t="shared" ref="S29" si="22">SUM(B29:Q29)</f>
        <v>200100</v>
      </c>
      <c r="T29" s="10">
        <f t="shared" ref="T29" si="23">(B29+C29)/S29</f>
        <v>0.29338830584707648</v>
      </c>
      <c r="U29" s="10">
        <f t="shared" ref="U29" si="24">(D29+E29+F29)/S29</f>
        <v>0.3199750124937531</v>
      </c>
      <c r="V29" s="10">
        <f t="shared" ref="V29" si="25">(G29+H29)/S29</f>
        <v>0.12315342328835582</v>
      </c>
      <c r="W29" s="10">
        <f t="shared" ref="W29" si="26">(SUM(I29:P29))/S29</f>
        <v>0.17927536231884059</v>
      </c>
    </row>
    <row r="30" spans="1:25" ht="15" x14ac:dyDescent="0.4">
      <c r="A30" s="11" t="s">
        <v>637</v>
      </c>
      <c r="B30" s="37">
        <v>10</v>
      </c>
      <c r="C30" s="37">
        <v>133</v>
      </c>
      <c r="D30" s="37">
        <v>80</v>
      </c>
      <c r="E30" s="37">
        <v>64</v>
      </c>
      <c r="F30" s="37">
        <v>34</v>
      </c>
      <c r="G30" s="37">
        <v>24</v>
      </c>
      <c r="H30" s="37">
        <v>38</v>
      </c>
      <c r="I30" s="37">
        <v>46</v>
      </c>
      <c r="J30" s="37">
        <v>56</v>
      </c>
      <c r="K30" s="37">
        <v>27</v>
      </c>
      <c r="L30" s="37">
        <v>17</v>
      </c>
      <c r="M30" s="37">
        <v>3</v>
      </c>
      <c r="N30" s="37">
        <v>0</v>
      </c>
      <c r="O30" s="37">
        <v>4</v>
      </c>
      <c r="P30" s="37">
        <v>0</v>
      </c>
      <c r="Q30" s="37">
        <v>40</v>
      </c>
      <c r="R30" s="37">
        <v>0</v>
      </c>
      <c r="S30">
        <f t="shared" ref="S30" si="27">SUM(B30:Q30)</f>
        <v>576</v>
      </c>
      <c r="T30" s="10">
        <f t="shared" ref="T30" si="28">(B30+C30)/S30</f>
        <v>0.2482638888888889</v>
      </c>
      <c r="U30" s="10">
        <f t="shared" ref="U30" si="29">(D30+E30+F30)/S30</f>
        <v>0.30902777777777779</v>
      </c>
      <c r="V30" s="10">
        <f t="shared" ref="V30" si="30">(G30+H30)/S30</f>
        <v>0.1076388888888889</v>
      </c>
      <c r="W30" s="10">
        <f t="shared" ref="W30" si="31">(SUM(I30:P30))/S30</f>
        <v>0.265625</v>
      </c>
    </row>
    <row r="32" spans="1:25" x14ac:dyDescent="0.35">
      <c r="A32" s="4" t="s">
        <v>98</v>
      </c>
      <c r="Y32" t="s">
        <v>596</v>
      </c>
    </row>
    <row r="33" spans="1:27" x14ac:dyDescent="0.35">
      <c r="B33" t="s">
        <v>78</v>
      </c>
      <c r="C33" t="s">
        <v>79</v>
      </c>
      <c r="D33" t="s">
        <v>80</v>
      </c>
      <c r="E33" t="s">
        <v>81</v>
      </c>
      <c r="F33" t="s">
        <v>82</v>
      </c>
      <c r="G33" t="s">
        <v>83</v>
      </c>
      <c r="H33" t="s">
        <v>84</v>
      </c>
      <c r="I33" t="s">
        <v>85</v>
      </c>
      <c r="J33" t="s">
        <v>86</v>
      </c>
      <c r="K33" t="s">
        <v>87</v>
      </c>
      <c r="L33" t="s">
        <v>88</v>
      </c>
      <c r="M33" t="s">
        <v>89</v>
      </c>
      <c r="N33" t="s">
        <v>90</v>
      </c>
      <c r="O33" t="s">
        <v>91</v>
      </c>
      <c r="P33" t="s">
        <v>92</v>
      </c>
      <c r="Q33" t="s">
        <v>93</v>
      </c>
      <c r="R33" t="s">
        <v>94</v>
      </c>
      <c r="S33" t="s">
        <v>95</v>
      </c>
      <c r="T33" t="s">
        <v>96</v>
      </c>
      <c r="U33" t="s">
        <v>97</v>
      </c>
      <c r="V33" t="s">
        <v>28</v>
      </c>
      <c r="W33" t="s">
        <v>29</v>
      </c>
      <c r="Y33" t="s">
        <v>82</v>
      </c>
      <c r="Z33" t="s">
        <v>84</v>
      </c>
      <c r="AA33" t="s">
        <v>85</v>
      </c>
    </row>
    <row r="34" spans="1:27" x14ac:dyDescent="0.35">
      <c r="A34" t="s">
        <v>7</v>
      </c>
      <c r="B34">
        <v>118</v>
      </c>
      <c r="C34">
        <v>9</v>
      </c>
      <c r="D34">
        <v>450</v>
      </c>
      <c r="E34">
        <v>33</v>
      </c>
      <c r="F34" s="3">
        <v>1095</v>
      </c>
      <c r="G34">
        <v>162</v>
      </c>
      <c r="H34" s="3">
        <v>1267</v>
      </c>
      <c r="I34" s="3">
        <v>1278</v>
      </c>
      <c r="J34">
        <v>154</v>
      </c>
      <c r="K34">
        <v>86</v>
      </c>
      <c r="L34">
        <v>84</v>
      </c>
      <c r="M34">
        <v>107</v>
      </c>
      <c r="N34">
        <v>160</v>
      </c>
      <c r="O34">
        <v>145</v>
      </c>
      <c r="P34">
        <v>87</v>
      </c>
      <c r="Q34">
        <v>257</v>
      </c>
      <c r="R34">
        <v>497</v>
      </c>
      <c r="S34">
        <v>224</v>
      </c>
      <c r="T34">
        <v>269</v>
      </c>
      <c r="U34">
        <v>240</v>
      </c>
      <c r="V34">
        <v>115</v>
      </c>
      <c r="W34" s="3">
        <v>5332</v>
      </c>
      <c r="X34">
        <f>SUM(B34:T34)</f>
        <v>6482</v>
      </c>
      <c r="Y34" s="10">
        <f>F34/X34</f>
        <v>0.16892934279543351</v>
      </c>
      <c r="Z34" s="10">
        <f>H34/X34</f>
        <v>0.19546436285097193</v>
      </c>
      <c r="AA34" s="10">
        <f>I34/X34</f>
        <v>0.19716136994754704</v>
      </c>
    </row>
    <row r="35" spans="1:27" x14ac:dyDescent="0.35">
      <c r="A35" t="s">
        <v>8</v>
      </c>
      <c r="B35">
        <v>130</v>
      </c>
      <c r="C35">
        <v>14</v>
      </c>
      <c r="D35" s="3">
        <v>1368</v>
      </c>
      <c r="E35">
        <v>95</v>
      </c>
      <c r="F35" s="3">
        <v>2440</v>
      </c>
      <c r="G35">
        <v>544</v>
      </c>
      <c r="H35" s="3">
        <v>4686</v>
      </c>
      <c r="I35" s="3">
        <v>3754</v>
      </c>
      <c r="J35">
        <v>499</v>
      </c>
      <c r="K35">
        <v>310</v>
      </c>
      <c r="L35">
        <v>355</v>
      </c>
      <c r="M35">
        <v>243</v>
      </c>
      <c r="N35">
        <v>613</v>
      </c>
      <c r="O35">
        <v>503</v>
      </c>
      <c r="P35">
        <v>290</v>
      </c>
      <c r="Q35">
        <v>865</v>
      </c>
      <c r="R35" s="3">
        <v>1458</v>
      </c>
      <c r="S35">
        <v>619</v>
      </c>
      <c r="T35">
        <v>844</v>
      </c>
      <c r="U35">
        <v>700</v>
      </c>
      <c r="V35">
        <v>467</v>
      </c>
      <c r="W35" s="3">
        <v>20837</v>
      </c>
      <c r="X35">
        <f t="shared" ref="X35:X44" si="32">SUM(B35:T35)</f>
        <v>19630</v>
      </c>
      <c r="Y35" s="10">
        <f t="shared" ref="Y35:Y44" si="33">F35/X35</f>
        <v>0.12429954151808456</v>
      </c>
      <c r="Z35" s="10">
        <f t="shared" ref="Z35:Z44" si="34">H35/X35</f>
        <v>0.23871625063678042</v>
      </c>
      <c r="AA35" s="10">
        <f t="shared" ref="AA35:AA44" si="35">I35/X35</f>
        <v>0.19123790117167599</v>
      </c>
    </row>
    <row r="36" spans="1:27" x14ac:dyDescent="0.35">
      <c r="A36" t="s">
        <v>9</v>
      </c>
      <c r="B36">
        <v>47</v>
      </c>
      <c r="C36">
        <v>6</v>
      </c>
      <c r="D36">
        <v>669</v>
      </c>
      <c r="E36">
        <v>71</v>
      </c>
      <c r="F36" s="3">
        <v>1305</v>
      </c>
      <c r="G36">
        <v>267</v>
      </c>
      <c r="H36" s="3">
        <v>2810</v>
      </c>
      <c r="I36" s="3">
        <v>2405</v>
      </c>
      <c r="J36">
        <v>697</v>
      </c>
      <c r="K36">
        <v>169</v>
      </c>
      <c r="L36">
        <v>221</v>
      </c>
      <c r="M36">
        <v>159</v>
      </c>
      <c r="N36">
        <v>368</v>
      </c>
      <c r="O36">
        <v>361</v>
      </c>
      <c r="P36">
        <v>364</v>
      </c>
      <c r="Q36">
        <v>608</v>
      </c>
      <c r="R36">
        <v>885</v>
      </c>
      <c r="S36">
        <v>286</v>
      </c>
      <c r="T36">
        <v>465</v>
      </c>
      <c r="U36">
        <v>396</v>
      </c>
      <c r="V36">
        <v>344</v>
      </c>
      <c r="W36" s="3">
        <v>15697</v>
      </c>
      <c r="X36">
        <f t="shared" si="32"/>
        <v>12163</v>
      </c>
      <c r="Y36" s="10">
        <f t="shared" si="33"/>
        <v>0.10729260873139851</v>
      </c>
      <c r="Z36" s="10">
        <f t="shared" si="34"/>
        <v>0.23102852914576996</v>
      </c>
      <c r="AA36" s="10">
        <f t="shared" si="35"/>
        <v>0.19773082298774974</v>
      </c>
    </row>
    <row r="37" spans="1:27" x14ac:dyDescent="0.35">
      <c r="A37" t="s">
        <v>10</v>
      </c>
      <c r="B37">
        <v>19</v>
      </c>
      <c r="C37">
        <v>10</v>
      </c>
      <c r="D37">
        <v>367</v>
      </c>
      <c r="E37">
        <v>61</v>
      </c>
      <c r="F37">
        <v>973</v>
      </c>
      <c r="G37">
        <v>150</v>
      </c>
      <c r="H37" s="3">
        <v>1904</v>
      </c>
      <c r="I37" s="3">
        <v>1770</v>
      </c>
      <c r="J37">
        <v>392</v>
      </c>
      <c r="K37">
        <v>119</v>
      </c>
      <c r="L37">
        <v>146</v>
      </c>
      <c r="M37">
        <v>97</v>
      </c>
      <c r="N37">
        <v>239</v>
      </c>
      <c r="O37">
        <v>217</v>
      </c>
      <c r="P37">
        <v>169</v>
      </c>
      <c r="Q37">
        <v>374</v>
      </c>
      <c r="R37">
        <v>528</v>
      </c>
      <c r="S37">
        <v>257</v>
      </c>
      <c r="T37">
        <v>315</v>
      </c>
      <c r="U37">
        <v>301</v>
      </c>
      <c r="V37">
        <v>174</v>
      </c>
      <c r="W37" s="3">
        <v>8935</v>
      </c>
      <c r="X37">
        <f t="shared" si="32"/>
        <v>8107</v>
      </c>
      <c r="Y37" s="10">
        <f t="shared" si="33"/>
        <v>0.12001973603059085</v>
      </c>
      <c r="Z37" s="10">
        <f t="shared" si="34"/>
        <v>0.23485876403108424</v>
      </c>
      <c r="AA37" s="10">
        <f t="shared" si="35"/>
        <v>0.21832983841124953</v>
      </c>
    </row>
    <row r="38" spans="1:27" x14ac:dyDescent="0.35">
      <c r="A38" t="s">
        <v>11</v>
      </c>
      <c r="B38">
        <v>43</v>
      </c>
      <c r="C38">
        <v>0</v>
      </c>
      <c r="D38">
        <v>187</v>
      </c>
      <c r="E38">
        <v>13</v>
      </c>
      <c r="F38">
        <v>381</v>
      </c>
      <c r="G38">
        <v>52</v>
      </c>
      <c r="H38">
        <v>396</v>
      </c>
      <c r="I38">
        <v>599</v>
      </c>
      <c r="J38">
        <v>79</v>
      </c>
      <c r="K38">
        <v>18</v>
      </c>
      <c r="L38">
        <v>19</v>
      </c>
      <c r="M38">
        <v>28</v>
      </c>
      <c r="N38">
        <v>60</v>
      </c>
      <c r="O38">
        <v>54</v>
      </c>
      <c r="P38">
        <v>255</v>
      </c>
      <c r="Q38">
        <v>87</v>
      </c>
      <c r="R38">
        <v>148</v>
      </c>
      <c r="S38">
        <v>48</v>
      </c>
      <c r="T38">
        <v>130</v>
      </c>
      <c r="U38">
        <v>90</v>
      </c>
      <c r="V38">
        <v>52</v>
      </c>
      <c r="W38" s="3">
        <v>2638</v>
      </c>
      <c r="X38">
        <f t="shared" si="32"/>
        <v>2597</v>
      </c>
      <c r="Y38" s="10">
        <f t="shared" si="33"/>
        <v>0.14670773969965345</v>
      </c>
      <c r="Z38" s="10">
        <f t="shared" si="34"/>
        <v>0.15248363496341932</v>
      </c>
      <c r="AA38" s="10">
        <f t="shared" si="35"/>
        <v>0.23065075086638429</v>
      </c>
    </row>
    <row r="39" spans="1:27" x14ac:dyDescent="0.35">
      <c r="A39" t="s">
        <v>12</v>
      </c>
      <c r="B39">
        <v>112</v>
      </c>
      <c r="C39">
        <v>4</v>
      </c>
      <c r="D39">
        <v>467</v>
      </c>
      <c r="E39">
        <v>42</v>
      </c>
      <c r="F39" s="3">
        <v>1261</v>
      </c>
      <c r="G39">
        <v>157</v>
      </c>
      <c r="H39" s="3">
        <v>2222</v>
      </c>
      <c r="I39" s="3">
        <v>1922</v>
      </c>
      <c r="J39">
        <v>95</v>
      </c>
      <c r="K39">
        <v>85</v>
      </c>
      <c r="L39">
        <v>51</v>
      </c>
      <c r="M39">
        <v>136</v>
      </c>
      <c r="N39">
        <v>218</v>
      </c>
      <c r="O39">
        <v>187</v>
      </c>
      <c r="P39">
        <v>735</v>
      </c>
      <c r="Q39">
        <v>321</v>
      </c>
      <c r="R39">
        <v>547</v>
      </c>
      <c r="S39">
        <v>399</v>
      </c>
      <c r="T39">
        <v>344</v>
      </c>
      <c r="U39">
        <v>262</v>
      </c>
      <c r="V39">
        <v>165</v>
      </c>
      <c r="W39" s="3">
        <v>6620</v>
      </c>
      <c r="X39">
        <f t="shared" si="32"/>
        <v>9305</v>
      </c>
      <c r="Y39" s="10">
        <f t="shared" si="33"/>
        <v>0.1355185384202042</v>
      </c>
      <c r="Z39" s="10">
        <f t="shared" si="34"/>
        <v>0.23879634605051048</v>
      </c>
      <c r="AA39" s="10">
        <f t="shared" si="35"/>
        <v>0.20655561526061259</v>
      </c>
    </row>
    <row r="40" spans="1:27" x14ac:dyDescent="0.35">
      <c r="A40" t="s">
        <v>13</v>
      </c>
      <c r="B40">
        <v>21</v>
      </c>
      <c r="C40">
        <v>4</v>
      </c>
      <c r="D40">
        <v>248</v>
      </c>
      <c r="E40">
        <v>18</v>
      </c>
      <c r="F40">
        <v>657</v>
      </c>
      <c r="G40">
        <v>93</v>
      </c>
      <c r="H40" s="3">
        <v>1094</v>
      </c>
      <c r="I40">
        <v>950</v>
      </c>
      <c r="J40">
        <v>66</v>
      </c>
      <c r="K40">
        <v>74</v>
      </c>
      <c r="L40">
        <v>54</v>
      </c>
      <c r="M40">
        <v>70</v>
      </c>
      <c r="N40">
        <v>224</v>
      </c>
      <c r="O40">
        <v>94</v>
      </c>
      <c r="P40">
        <v>62</v>
      </c>
      <c r="Q40">
        <v>321</v>
      </c>
      <c r="R40">
        <v>344</v>
      </c>
      <c r="S40">
        <v>270</v>
      </c>
      <c r="T40">
        <v>182</v>
      </c>
      <c r="U40">
        <v>121</v>
      </c>
      <c r="V40">
        <v>49</v>
      </c>
      <c r="W40" s="3">
        <v>3528</v>
      </c>
      <c r="X40">
        <f t="shared" si="32"/>
        <v>4846</v>
      </c>
      <c r="Y40" s="10">
        <f t="shared" si="33"/>
        <v>0.13557573256293851</v>
      </c>
      <c r="Z40" s="10">
        <f t="shared" si="34"/>
        <v>0.22575319851423856</v>
      </c>
      <c r="AA40" s="10">
        <f t="shared" si="35"/>
        <v>0.19603796945934793</v>
      </c>
    </row>
    <row r="41" spans="1:27" x14ac:dyDescent="0.35">
      <c r="A41" t="s">
        <v>14</v>
      </c>
      <c r="B41">
        <v>40</v>
      </c>
      <c r="C41">
        <v>10</v>
      </c>
      <c r="D41">
        <v>633</v>
      </c>
      <c r="E41">
        <v>70</v>
      </c>
      <c r="F41" s="3">
        <v>1294</v>
      </c>
      <c r="G41">
        <v>223</v>
      </c>
      <c r="H41" s="3">
        <v>3067</v>
      </c>
      <c r="I41" s="3">
        <v>2234</v>
      </c>
      <c r="J41">
        <v>390</v>
      </c>
      <c r="K41">
        <v>130</v>
      </c>
      <c r="L41">
        <v>281</v>
      </c>
      <c r="M41">
        <v>130</v>
      </c>
      <c r="N41">
        <v>376</v>
      </c>
      <c r="O41">
        <v>322</v>
      </c>
      <c r="P41">
        <v>249</v>
      </c>
      <c r="Q41">
        <v>569</v>
      </c>
      <c r="R41">
        <v>917</v>
      </c>
      <c r="S41">
        <v>296</v>
      </c>
      <c r="T41">
        <v>485</v>
      </c>
      <c r="U41">
        <v>392</v>
      </c>
      <c r="V41">
        <v>266</v>
      </c>
      <c r="W41" s="3">
        <v>12757</v>
      </c>
      <c r="X41">
        <f t="shared" si="32"/>
        <v>11716</v>
      </c>
      <c r="Y41" s="10">
        <f t="shared" si="33"/>
        <v>0.1104472516217139</v>
      </c>
      <c r="Z41" s="10">
        <f t="shared" si="34"/>
        <v>0.26177876408330486</v>
      </c>
      <c r="AA41" s="10">
        <f t="shared" si="35"/>
        <v>0.1906794127688631</v>
      </c>
    </row>
    <row r="42" spans="1:27" x14ac:dyDescent="0.35">
      <c r="A42" t="s">
        <v>15</v>
      </c>
      <c r="B42">
        <v>68</v>
      </c>
      <c r="C42">
        <v>6</v>
      </c>
      <c r="D42">
        <v>528</v>
      </c>
      <c r="E42">
        <v>68</v>
      </c>
      <c r="F42" s="3">
        <v>1134</v>
      </c>
      <c r="G42">
        <v>270</v>
      </c>
      <c r="H42" s="3">
        <v>2785</v>
      </c>
      <c r="I42" s="3">
        <v>2408</v>
      </c>
      <c r="J42">
        <v>657</v>
      </c>
      <c r="K42">
        <v>128</v>
      </c>
      <c r="L42">
        <v>194</v>
      </c>
      <c r="M42">
        <v>169</v>
      </c>
      <c r="N42">
        <v>329</v>
      </c>
      <c r="O42">
        <v>429</v>
      </c>
      <c r="P42">
        <v>249</v>
      </c>
      <c r="Q42">
        <v>611</v>
      </c>
      <c r="R42">
        <v>788</v>
      </c>
      <c r="S42">
        <v>391</v>
      </c>
      <c r="T42">
        <v>423</v>
      </c>
      <c r="U42">
        <v>370</v>
      </c>
      <c r="V42">
        <v>279</v>
      </c>
      <c r="W42" s="3">
        <v>13837</v>
      </c>
      <c r="X42">
        <f t="shared" si="32"/>
        <v>11635</v>
      </c>
      <c r="Y42" s="10">
        <f t="shared" si="33"/>
        <v>9.7464546626557805E-2</v>
      </c>
      <c r="Z42" s="10">
        <f t="shared" si="34"/>
        <v>0.23936398796733993</v>
      </c>
      <c r="AA42" s="10">
        <f t="shared" si="35"/>
        <v>0.2069617533304684</v>
      </c>
    </row>
    <row r="43" spans="1:27" x14ac:dyDescent="0.35">
      <c r="A43" t="s">
        <v>16</v>
      </c>
      <c r="B43">
        <v>156</v>
      </c>
      <c r="C43">
        <v>12</v>
      </c>
      <c r="D43">
        <v>730</v>
      </c>
      <c r="E43">
        <v>64</v>
      </c>
      <c r="F43" s="3">
        <v>1658</v>
      </c>
      <c r="G43">
        <v>241</v>
      </c>
      <c r="H43" s="3">
        <v>2153</v>
      </c>
      <c r="I43" s="3">
        <v>2037</v>
      </c>
      <c r="J43">
        <v>153</v>
      </c>
      <c r="K43">
        <v>136</v>
      </c>
      <c r="L43">
        <v>83</v>
      </c>
      <c r="M43">
        <v>174</v>
      </c>
      <c r="N43">
        <v>337</v>
      </c>
      <c r="O43">
        <v>232</v>
      </c>
      <c r="P43">
        <v>174</v>
      </c>
      <c r="Q43">
        <v>432</v>
      </c>
      <c r="R43">
        <v>728</v>
      </c>
      <c r="S43">
        <v>358</v>
      </c>
      <c r="T43">
        <v>507</v>
      </c>
      <c r="U43">
        <v>364</v>
      </c>
      <c r="V43">
        <v>202</v>
      </c>
      <c r="W43" s="3">
        <v>7745</v>
      </c>
      <c r="X43">
        <f t="shared" si="32"/>
        <v>10365</v>
      </c>
      <c r="Y43" s="10">
        <f t="shared" si="33"/>
        <v>0.15996140858658947</v>
      </c>
      <c r="Z43" s="10">
        <f t="shared" si="34"/>
        <v>0.20771828268210324</v>
      </c>
      <c r="AA43" s="10">
        <f t="shared" si="35"/>
        <v>0.19652677279305356</v>
      </c>
    </row>
    <row r="44" spans="1:27" ht="15" x14ac:dyDescent="0.4">
      <c r="A44" s="11" t="s">
        <v>567</v>
      </c>
      <c r="B44">
        <f>SUM(B34:B43)</f>
        <v>754</v>
      </c>
      <c r="C44">
        <f t="shared" ref="C44:W44" si="36">SUM(C34:C43)</f>
        <v>75</v>
      </c>
      <c r="D44">
        <f t="shared" si="36"/>
        <v>5647</v>
      </c>
      <c r="E44">
        <f t="shared" si="36"/>
        <v>535</v>
      </c>
      <c r="F44">
        <f t="shared" si="36"/>
        <v>12198</v>
      </c>
      <c r="G44">
        <f t="shared" si="36"/>
        <v>2159</v>
      </c>
      <c r="H44">
        <f t="shared" si="36"/>
        <v>22384</v>
      </c>
      <c r="I44">
        <f t="shared" si="36"/>
        <v>19357</v>
      </c>
      <c r="J44">
        <f t="shared" si="36"/>
        <v>3182</v>
      </c>
      <c r="K44">
        <f t="shared" si="36"/>
        <v>1255</v>
      </c>
      <c r="L44">
        <f t="shared" si="36"/>
        <v>1488</v>
      </c>
      <c r="M44">
        <f t="shared" si="36"/>
        <v>1313</v>
      </c>
      <c r="N44">
        <f t="shared" si="36"/>
        <v>2924</v>
      </c>
      <c r="O44">
        <f t="shared" si="36"/>
        <v>2544</v>
      </c>
      <c r="P44">
        <f t="shared" si="36"/>
        <v>2634</v>
      </c>
      <c r="Q44">
        <f t="shared" si="36"/>
        <v>4445</v>
      </c>
      <c r="R44">
        <f t="shared" si="36"/>
        <v>6840</v>
      </c>
      <c r="S44">
        <f t="shared" si="36"/>
        <v>3148</v>
      </c>
      <c r="T44">
        <f t="shared" si="36"/>
        <v>3964</v>
      </c>
      <c r="U44">
        <f t="shared" si="36"/>
        <v>3236</v>
      </c>
      <c r="V44">
        <f t="shared" si="36"/>
        <v>2113</v>
      </c>
      <c r="W44">
        <f t="shared" si="36"/>
        <v>97926</v>
      </c>
      <c r="X44">
        <f t="shared" si="32"/>
        <v>96846</v>
      </c>
      <c r="Y44" s="10">
        <f t="shared" si="33"/>
        <v>0.125952543212936</v>
      </c>
      <c r="Z44" s="10">
        <f t="shared" si="34"/>
        <v>0.23112983499576648</v>
      </c>
      <c r="AA44" s="10">
        <f t="shared" si="35"/>
        <v>0.19987402680544369</v>
      </c>
    </row>
    <row r="45" spans="1:27" ht="15" x14ac:dyDescent="0.4">
      <c r="A45" s="11" t="s">
        <v>637</v>
      </c>
      <c r="B45" s="37">
        <v>0</v>
      </c>
      <c r="C45" s="37">
        <v>0</v>
      </c>
      <c r="D45" s="37">
        <v>26</v>
      </c>
      <c r="E45" s="37">
        <v>3</v>
      </c>
      <c r="F45" s="37">
        <v>53</v>
      </c>
      <c r="G45" s="37">
        <v>9</v>
      </c>
      <c r="H45" s="37">
        <v>62</v>
      </c>
      <c r="I45" s="37">
        <v>51</v>
      </c>
      <c r="J45" s="37">
        <v>4</v>
      </c>
      <c r="K45" s="37">
        <v>4</v>
      </c>
      <c r="L45" s="37">
        <v>5</v>
      </c>
      <c r="M45" s="37">
        <v>0</v>
      </c>
      <c r="N45" s="37">
        <v>5</v>
      </c>
      <c r="O45" s="37">
        <v>10</v>
      </c>
      <c r="P45" s="37">
        <v>8</v>
      </c>
      <c r="Q45" s="37">
        <v>17</v>
      </c>
      <c r="R45" s="37">
        <v>26</v>
      </c>
      <c r="S45" s="37">
        <v>19</v>
      </c>
      <c r="T45" s="37">
        <v>7</v>
      </c>
      <c r="U45" s="37">
        <v>14</v>
      </c>
      <c r="V45" s="37">
        <v>0</v>
      </c>
      <c r="W45" s="37">
        <v>236</v>
      </c>
      <c r="X45">
        <f t="shared" ref="X45" si="37">SUM(B45:T45)</f>
        <v>309</v>
      </c>
      <c r="Y45" s="10">
        <f t="shared" ref="Y45" si="38">F45/X45</f>
        <v>0.17152103559870549</v>
      </c>
      <c r="Z45" s="10">
        <f t="shared" ref="Z45" si="39">H45/X45</f>
        <v>0.20064724919093851</v>
      </c>
      <c r="AA45" s="10">
        <f t="shared" ref="AA45" si="40">I45/X45</f>
        <v>0.1650485436893204</v>
      </c>
    </row>
    <row r="47" spans="1:27" x14ac:dyDescent="0.35">
      <c r="A47" s="4" t="s">
        <v>341</v>
      </c>
    </row>
    <row r="48" spans="1:27" x14ac:dyDescent="0.35">
      <c r="B48" t="s">
        <v>333</v>
      </c>
      <c r="C48" t="s">
        <v>334</v>
      </c>
      <c r="D48" t="s">
        <v>335</v>
      </c>
      <c r="E48" t="s">
        <v>336</v>
      </c>
      <c r="F48" t="s">
        <v>337</v>
      </c>
      <c r="G48" t="s">
        <v>338</v>
      </c>
      <c r="H48" t="s">
        <v>339</v>
      </c>
      <c r="I48" t="s">
        <v>340</v>
      </c>
      <c r="J48" t="s">
        <v>97</v>
      </c>
      <c r="K48" t="s">
        <v>28</v>
      </c>
      <c r="L48" t="s">
        <v>29</v>
      </c>
    </row>
    <row r="49" spans="1:12" x14ac:dyDescent="0.35">
      <c r="A49" t="s">
        <v>7</v>
      </c>
      <c r="B49">
        <v>242</v>
      </c>
      <c r="C49">
        <v>345</v>
      </c>
      <c r="D49" s="3">
        <v>1478</v>
      </c>
      <c r="E49" s="3">
        <v>1054</v>
      </c>
      <c r="F49">
        <v>560</v>
      </c>
      <c r="G49" s="3">
        <v>1577</v>
      </c>
      <c r="H49">
        <v>291</v>
      </c>
      <c r="I49" s="3">
        <v>1184</v>
      </c>
      <c r="J49">
        <v>38</v>
      </c>
      <c r="K49">
        <v>78</v>
      </c>
      <c r="L49" s="3">
        <v>5332</v>
      </c>
    </row>
    <row r="50" spans="1:12" x14ac:dyDescent="0.35">
      <c r="A50" t="s">
        <v>8</v>
      </c>
      <c r="B50">
        <v>715</v>
      </c>
      <c r="C50" s="3">
        <v>1361</v>
      </c>
      <c r="D50" s="3">
        <v>3534</v>
      </c>
      <c r="E50" s="3">
        <v>3014</v>
      </c>
      <c r="F50" s="3">
        <v>1869</v>
      </c>
      <c r="G50" s="3">
        <v>5622</v>
      </c>
      <c r="H50" s="3">
        <v>1102</v>
      </c>
      <c r="I50" s="3">
        <v>3164</v>
      </c>
      <c r="J50">
        <v>175</v>
      </c>
      <c r="K50">
        <v>237</v>
      </c>
      <c r="L50" s="3">
        <v>20837</v>
      </c>
    </row>
    <row r="51" spans="1:12" x14ac:dyDescent="0.35">
      <c r="A51" t="s">
        <v>9</v>
      </c>
      <c r="B51">
        <v>424</v>
      </c>
      <c r="C51">
        <v>870</v>
      </c>
      <c r="D51" s="3">
        <v>1996</v>
      </c>
      <c r="E51" s="3">
        <v>1911</v>
      </c>
      <c r="F51" s="3">
        <v>1193</v>
      </c>
      <c r="G51" s="3">
        <v>3541</v>
      </c>
      <c r="H51">
        <v>760</v>
      </c>
      <c r="I51" s="3">
        <v>1880</v>
      </c>
      <c r="J51">
        <v>115</v>
      </c>
      <c r="K51">
        <v>199</v>
      </c>
      <c r="L51" s="3">
        <v>15697</v>
      </c>
    </row>
    <row r="52" spans="1:12" x14ac:dyDescent="0.35">
      <c r="A52" t="s">
        <v>10</v>
      </c>
      <c r="B52">
        <v>319</v>
      </c>
      <c r="C52">
        <v>524</v>
      </c>
      <c r="D52" s="3">
        <v>1464</v>
      </c>
      <c r="E52" s="3">
        <v>1225</v>
      </c>
      <c r="F52">
        <v>845</v>
      </c>
      <c r="G52" s="3">
        <v>2332</v>
      </c>
      <c r="H52">
        <v>463</v>
      </c>
      <c r="I52" s="3">
        <v>1256</v>
      </c>
      <c r="J52">
        <v>65</v>
      </c>
      <c r="K52">
        <v>86</v>
      </c>
      <c r="L52" s="3">
        <v>8935</v>
      </c>
    </row>
    <row r="53" spans="1:12" x14ac:dyDescent="0.35">
      <c r="A53" t="s">
        <v>11</v>
      </c>
      <c r="B53">
        <v>120</v>
      </c>
      <c r="C53">
        <v>99</v>
      </c>
      <c r="D53">
        <v>531</v>
      </c>
      <c r="E53">
        <v>493</v>
      </c>
      <c r="F53">
        <v>167</v>
      </c>
      <c r="G53">
        <v>626</v>
      </c>
      <c r="H53">
        <v>144</v>
      </c>
      <c r="I53">
        <v>492</v>
      </c>
      <c r="J53">
        <v>20</v>
      </c>
      <c r="K53">
        <v>23</v>
      </c>
      <c r="L53" s="3">
        <v>2638</v>
      </c>
    </row>
    <row r="54" spans="1:12" x14ac:dyDescent="0.35">
      <c r="A54" t="s">
        <v>12</v>
      </c>
      <c r="B54">
        <v>369</v>
      </c>
      <c r="C54">
        <v>483</v>
      </c>
      <c r="D54" s="3">
        <v>2130</v>
      </c>
      <c r="E54" s="3">
        <v>1985</v>
      </c>
      <c r="F54">
        <v>521</v>
      </c>
      <c r="G54" s="3">
        <v>2415</v>
      </c>
      <c r="H54">
        <v>214</v>
      </c>
      <c r="I54" s="3">
        <v>1453</v>
      </c>
      <c r="J54">
        <v>65</v>
      </c>
      <c r="K54">
        <v>98</v>
      </c>
      <c r="L54" s="3">
        <v>6620</v>
      </c>
    </row>
    <row r="55" spans="1:12" x14ac:dyDescent="0.35">
      <c r="A55" t="s">
        <v>13</v>
      </c>
      <c r="B55">
        <v>160</v>
      </c>
      <c r="C55">
        <v>437</v>
      </c>
      <c r="D55">
        <v>907</v>
      </c>
      <c r="E55">
        <v>997</v>
      </c>
      <c r="F55">
        <v>448</v>
      </c>
      <c r="G55" s="3">
        <v>1307</v>
      </c>
      <c r="H55">
        <v>118</v>
      </c>
      <c r="I55">
        <v>601</v>
      </c>
      <c r="J55">
        <v>22</v>
      </c>
      <c r="K55">
        <v>31</v>
      </c>
      <c r="L55" s="3">
        <v>3528</v>
      </c>
    </row>
    <row r="56" spans="1:12" x14ac:dyDescent="0.35">
      <c r="A56" t="s">
        <v>14</v>
      </c>
      <c r="B56">
        <v>395</v>
      </c>
      <c r="C56">
        <v>941</v>
      </c>
      <c r="D56" s="3">
        <v>1912</v>
      </c>
      <c r="E56" s="3">
        <v>1737</v>
      </c>
      <c r="F56" s="3">
        <v>1130</v>
      </c>
      <c r="G56" s="3">
        <v>3672</v>
      </c>
      <c r="H56">
        <v>569</v>
      </c>
      <c r="I56" s="3">
        <v>1794</v>
      </c>
      <c r="J56">
        <v>89</v>
      </c>
      <c r="K56">
        <v>144</v>
      </c>
      <c r="L56" s="3">
        <v>12757</v>
      </c>
    </row>
    <row r="57" spans="1:12" x14ac:dyDescent="0.35">
      <c r="A57" t="s">
        <v>15</v>
      </c>
      <c r="B57">
        <v>376</v>
      </c>
      <c r="C57">
        <v>797</v>
      </c>
      <c r="D57" s="3">
        <v>1777</v>
      </c>
      <c r="E57" s="3">
        <v>1716</v>
      </c>
      <c r="F57" s="3">
        <v>1208</v>
      </c>
      <c r="G57" s="3">
        <v>3363</v>
      </c>
      <c r="H57">
        <v>906</v>
      </c>
      <c r="I57" s="3">
        <v>1888</v>
      </c>
      <c r="J57">
        <v>92</v>
      </c>
      <c r="K57">
        <v>140</v>
      </c>
      <c r="L57" s="3">
        <v>13837</v>
      </c>
    </row>
    <row r="58" spans="1:12" x14ac:dyDescent="0.35">
      <c r="A58" t="s">
        <v>16</v>
      </c>
      <c r="B58">
        <v>369</v>
      </c>
      <c r="C58">
        <v>613</v>
      </c>
      <c r="D58" s="3">
        <v>2476</v>
      </c>
      <c r="E58" s="3">
        <v>1967</v>
      </c>
      <c r="F58">
        <v>766</v>
      </c>
      <c r="G58" s="3">
        <v>2470</v>
      </c>
      <c r="H58">
        <v>335</v>
      </c>
      <c r="I58" s="3">
        <v>1757</v>
      </c>
      <c r="J58">
        <v>61</v>
      </c>
      <c r="K58">
        <v>113</v>
      </c>
      <c r="L58" s="3">
        <v>7745</v>
      </c>
    </row>
    <row r="59" spans="1:12" x14ac:dyDescent="0.35">
      <c r="A59" t="s">
        <v>637</v>
      </c>
      <c r="B59" s="37">
        <v>10</v>
      </c>
      <c r="C59" s="37">
        <v>27</v>
      </c>
      <c r="D59" s="37">
        <v>63</v>
      </c>
      <c r="E59" s="37">
        <v>59</v>
      </c>
      <c r="F59" s="37">
        <v>33</v>
      </c>
      <c r="G59" s="37">
        <v>72</v>
      </c>
      <c r="H59" s="37">
        <v>11</v>
      </c>
      <c r="I59" s="37">
        <v>56</v>
      </c>
      <c r="J59" s="37">
        <v>0</v>
      </c>
      <c r="K59" s="37">
        <v>7</v>
      </c>
      <c r="L59" s="37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6"/>
  <sheetViews>
    <sheetView workbookViewId="0">
      <selection activeCell="X23" sqref="X23"/>
    </sheetView>
  </sheetViews>
  <sheetFormatPr defaultRowHeight="14.5" x14ac:dyDescent="0.35"/>
  <sheetData>
    <row r="2" spans="1:27" x14ac:dyDescent="0.35">
      <c r="A2" s="4" t="s">
        <v>53</v>
      </c>
      <c r="V2" t="s">
        <v>603</v>
      </c>
    </row>
    <row r="3" spans="1:27" x14ac:dyDescent="0.35">
      <c r="B3" s="2" t="s">
        <v>6</v>
      </c>
      <c r="H3" t="s">
        <v>4</v>
      </c>
      <c r="N3" t="s">
        <v>5</v>
      </c>
      <c r="V3" s="2" t="s">
        <v>6</v>
      </c>
      <c r="Y3" t="s">
        <v>4</v>
      </c>
    </row>
    <row r="4" spans="1:27" x14ac:dyDescent="0.35">
      <c r="B4" t="s">
        <v>48</v>
      </c>
      <c r="C4" t="s">
        <v>49</v>
      </c>
      <c r="D4" t="s">
        <v>50</v>
      </c>
      <c r="E4" t="s">
        <v>51</v>
      </c>
      <c r="F4" t="s">
        <v>52</v>
      </c>
      <c r="G4" t="s">
        <v>29</v>
      </c>
      <c r="H4" t="s">
        <v>48</v>
      </c>
      <c r="I4" t="s">
        <v>49</v>
      </c>
      <c r="J4" t="s">
        <v>50</v>
      </c>
      <c r="K4" t="s">
        <v>51</v>
      </c>
      <c r="L4" t="s">
        <v>52</v>
      </c>
      <c r="M4" t="s">
        <v>29</v>
      </c>
      <c r="N4" t="s">
        <v>48</v>
      </c>
      <c r="O4" t="s">
        <v>49</v>
      </c>
      <c r="P4" t="s">
        <v>50</v>
      </c>
      <c r="Q4" t="s">
        <v>51</v>
      </c>
      <c r="R4" t="s">
        <v>52</v>
      </c>
      <c r="S4" t="s">
        <v>29</v>
      </c>
      <c r="T4" s="2" t="s">
        <v>6</v>
      </c>
      <c r="U4" t="s">
        <v>4</v>
      </c>
      <c r="V4" t="s">
        <v>600</v>
      </c>
      <c r="W4" t="s">
        <v>601</v>
      </c>
      <c r="X4" t="s">
        <v>602</v>
      </c>
      <c r="Y4" t="s">
        <v>600</v>
      </c>
      <c r="Z4" t="s">
        <v>601</v>
      </c>
      <c r="AA4" t="s">
        <v>602</v>
      </c>
    </row>
    <row r="5" spans="1:27" x14ac:dyDescent="0.35">
      <c r="A5" t="s">
        <v>7</v>
      </c>
      <c r="B5" s="3">
        <v>3483</v>
      </c>
      <c r="C5">
        <v>78</v>
      </c>
      <c r="D5">
        <v>29</v>
      </c>
      <c r="E5">
        <v>81</v>
      </c>
      <c r="F5">
        <v>183</v>
      </c>
      <c r="G5" s="3">
        <v>3820</v>
      </c>
      <c r="H5" s="3">
        <v>5464</v>
      </c>
      <c r="I5" s="3">
        <v>1142</v>
      </c>
      <c r="J5">
        <v>201</v>
      </c>
      <c r="K5" s="3">
        <v>1036</v>
      </c>
      <c r="L5">
        <v>469</v>
      </c>
      <c r="M5">
        <v>0</v>
      </c>
      <c r="N5" s="3">
        <v>8948</v>
      </c>
      <c r="O5" s="3">
        <v>1224</v>
      </c>
      <c r="P5">
        <v>227</v>
      </c>
      <c r="Q5" s="3">
        <v>1117</v>
      </c>
      <c r="R5">
        <v>652</v>
      </c>
      <c r="S5" s="3">
        <v>3820</v>
      </c>
      <c r="T5" s="3">
        <f>SUM(B5:E5)</f>
        <v>3671</v>
      </c>
      <c r="U5" s="3">
        <f>SUM(H5:K5)</f>
        <v>7843</v>
      </c>
      <c r="V5" s="10">
        <f>B5/T5</f>
        <v>0.94878779624080634</v>
      </c>
      <c r="W5" s="10">
        <f>(C5+D5)/T5</f>
        <v>2.9147371288477254E-2</v>
      </c>
      <c r="X5" s="10">
        <f>E5/T5</f>
        <v>2.2064832470716427E-2</v>
      </c>
      <c r="Y5" s="10">
        <f>H5/U5</f>
        <v>0.69667219176335582</v>
      </c>
      <c r="Z5" s="10">
        <f>(I5+J5)/U5</f>
        <v>0.17123549662119086</v>
      </c>
      <c r="AA5" s="10">
        <f>K5/U5</f>
        <v>0.13209231161545326</v>
      </c>
    </row>
    <row r="6" spans="1:27" x14ac:dyDescent="0.35">
      <c r="A6" t="s">
        <v>8</v>
      </c>
      <c r="B6" s="3">
        <v>11572</v>
      </c>
      <c r="C6">
        <v>198</v>
      </c>
      <c r="D6">
        <v>65</v>
      </c>
      <c r="E6">
        <v>240</v>
      </c>
      <c r="F6">
        <v>488</v>
      </c>
      <c r="G6" s="3">
        <v>12200</v>
      </c>
      <c r="H6" s="3">
        <v>19250</v>
      </c>
      <c r="I6" s="3">
        <v>3861</v>
      </c>
      <c r="J6">
        <v>644</v>
      </c>
      <c r="K6" s="3">
        <v>3846</v>
      </c>
      <c r="L6" s="3">
        <v>1461</v>
      </c>
      <c r="M6">
        <v>0</v>
      </c>
      <c r="N6" s="3">
        <v>30820</v>
      </c>
      <c r="O6" s="3">
        <v>4061</v>
      </c>
      <c r="P6">
        <v>702</v>
      </c>
      <c r="Q6" s="3">
        <v>4089</v>
      </c>
      <c r="R6" s="3">
        <v>1952</v>
      </c>
      <c r="S6" s="3">
        <v>12200</v>
      </c>
      <c r="T6" s="3">
        <f t="shared" ref="T6:T15" si="0">SUM(B6:E6)</f>
        <v>12075</v>
      </c>
      <c r="U6" s="3">
        <f t="shared" ref="U6:U15" si="1">SUM(H6:K6)</f>
        <v>27601</v>
      </c>
      <c r="V6" s="10">
        <f t="shared" ref="V6:V15" si="2">B6/T6</f>
        <v>0.95834368530020708</v>
      </c>
      <c r="W6" s="10">
        <f t="shared" ref="W6:W15" si="3">(C6+D6)/T6</f>
        <v>2.1780538302277434E-2</v>
      </c>
      <c r="X6" s="10">
        <f t="shared" ref="X6:X15" si="4">E6/T6</f>
        <v>1.9875776397515529E-2</v>
      </c>
      <c r="Y6" s="10">
        <f t="shared" ref="Y6:Y15" si="5">H6/U6</f>
        <v>0.69743849860512297</v>
      </c>
      <c r="Z6" s="10">
        <f t="shared" ref="Z6:Z15" si="6">(I6+J6)/U6</f>
        <v>0.16321872395927683</v>
      </c>
      <c r="AA6" s="10">
        <f t="shared" ref="AA6:AA15" si="7">K6/U6</f>
        <v>0.13934277743560017</v>
      </c>
    </row>
    <row r="7" spans="1:27" x14ac:dyDescent="0.35">
      <c r="A7" t="s">
        <v>9</v>
      </c>
      <c r="B7" s="3">
        <v>7502</v>
      </c>
      <c r="C7">
        <v>119</v>
      </c>
      <c r="D7">
        <v>40</v>
      </c>
      <c r="E7">
        <v>235</v>
      </c>
      <c r="F7">
        <v>401</v>
      </c>
      <c r="G7" s="3">
        <v>8036</v>
      </c>
      <c r="H7" s="3">
        <v>12870</v>
      </c>
      <c r="I7" s="3">
        <v>2581</v>
      </c>
      <c r="J7">
        <v>483</v>
      </c>
      <c r="K7" s="3">
        <v>3217</v>
      </c>
      <c r="L7" s="3">
        <v>1143</v>
      </c>
      <c r="M7">
        <v>0</v>
      </c>
      <c r="N7" s="3">
        <v>20373</v>
      </c>
      <c r="O7" s="3">
        <v>2703</v>
      </c>
      <c r="P7">
        <v>518</v>
      </c>
      <c r="Q7" s="3">
        <v>3449</v>
      </c>
      <c r="R7" s="3">
        <v>1544</v>
      </c>
      <c r="S7" s="3">
        <v>8036</v>
      </c>
      <c r="T7" s="3">
        <f t="shared" si="0"/>
        <v>7896</v>
      </c>
      <c r="U7" s="3">
        <f t="shared" si="1"/>
        <v>19151</v>
      </c>
      <c r="V7" s="10">
        <f t="shared" si="2"/>
        <v>0.95010131712259371</v>
      </c>
      <c r="W7" s="10">
        <f t="shared" si="3"/>
        <v>2.0136778115501519E-2</v>
      </c>
      <c r="X7" s="10">
        <f t="shared" si="4"/>
        <v>2.976190476190476E-2</v>
      </c>
      <c r="Y7" s="10">
        <f t="shared" si="5"/>
        <v>0.672027570361861</v>
      </c>
      <c r="Z7" s="10">
        <f t="shared" si="6"/>
        <v>0.1599916453448906</v>
      </c>
      <c r="AA7" s="10">
        <f t="shared" si="7"/>
        <v>0.16798078429324839</v>
      </c>
    </row>
    <row r="8" spans="1:27" x14ac:dyDescent="0.35">
      <c r="A8" t="s">
        <v>10</v>
      </c>
      <c r="B8" s="3">
        <v>4942</v>
      </c>
      <c r="C8">
        <v>106</v>
      </c>
      <c r="D8">
        <v>25</v>
      </c>
      <c r="E8">
        <v>112</v>
      </c>
      <c r="F8">
        <v>234</v>
      </c>
      <c r="G8" s="3">
        <v>5832</v>
      </c>
      <c r="H8" s="3">
        <v>7493</v>
      </c>
      <c r="I8" s="3">
        <v>1594</v>
      </c>
      <c r="J8">
        <v>305</v>
      </c>
      <c r="K8" s="3">
        <v>1790</v>
      </c>
      <c r="L8">
        <v>905</v>
      </c>
      <c r="M8">
        <v>0</v>
      </c>
      <c r="N8" s="3">
        <v>12431</v>
      </c>
      <c r="O8" s="3">
        <v>1699</v>
      </c>
      <c r="P8">
        <v>329</v>
      </c>
      <c r="Q8" s="3">
        <v>1905</v>
      </c>
      <c r="R8" s="3">
        <v>1137</v>
      </c>
      <c r="S8" s="3">
        <v>5832</v>
      </c>
      <c r="T8" s="3">
        <f t="shared" si="0"/>
        <v>5185</v>
      </c>
      <c r="U8" s="3">
        <f t="shared" si="1"/>
        <v>11182</v>
      </c>
      <c r="V8" s="10">
        <f t="shared" si="2"/>
        <v>0.95313404050144646</v>
      </c>
      <c r="W8" s="10">
        <f t="shared" si="3"/>
        <v>2.5265188042430088E-2</v>
      </c>
      <c r="X8" s="10">
        <f t="shared" si="4"/>
        <v>2.1600771456123432E-2</v>
      </c>
      <c r="Y8" s="10">
        <f t="shared" si="5"/>
        <v>0.67009479520658199</v>
      </c>
      <c r="Z8" s="10">
        <f t="shared" si="6"/>
        <v>0.1698265068860669</v>
      </c>
      <c r="AA8" s="10">
        <f t="shared" si="7"/>
        <v>0.1600786979073511</v>
      </c>
    </row>
    <row r="9" spans="1:27" x14ac:dyDescent="0.35">
      <c r="A9" t="s">
        <v>11</v>
      </c>
      <c r="B9" s="3">
        <v>1573</v>
      </c>
      <c r="C9">
        <v>41</v>
      </c>
      <c r="D9">
        <v>13</v>
      </c>
      <c r="E9">
        <v>51</v>
      </c>
      <c r="F9">
        <v>127</v>
      </c>
      <c r="G9" s="3">
        <v>1619</v>
      </c>
      <c r="H9" s="3">
        <v>2164</v>
      </c>
      <c r="I9">
        <v>518</v>
      </c>
      <c r="J9">
        <v>125</v>
      </c>
      <c r="K9">
        <v>505</v>
      </c>
      <c r="L9">
        <v>252</v>
      </c>
      <c r="M9">
        <v>0</v>
      </c>
      <c r="N9" s="3">
        <v>3737</v>
      </c>
      <c r="O9">
        <v>559</v>
      </c>
      <c r="P9">
        <v>139</v>
      </c>
      <c r="Q9">
        <v>553</v>
      </c>
      <c r="R9">
        <v>377</v>
      </c>
      <c r="S9" s="3">
        <v>1619</v>
      </c>
      <c r="T9" s="3">
        <f t="shared" si="0"/>
        <v>1678</v>
      </c>
      <c r="U9" s="3">
        <f t="shared" si="1"/>
        <v>3312</v>
      </c>
      <c r="V9" s="10">
        <f t="shared" si="2"/>
        <v>0.93742550655542312</v>
      </c>
      <c r="W9" s="10">
        <f t="shared" si="3"/>
        <v>3.2181168057210968E-2</v>
      </c>
      <c r="X9" s="10">
        <f t="shared" si="4"/>
        <v>3.0393325387365912E-2</v>
      </c>
      <c r="Y9" s="10">
        <f t="shared" si="5"/>
        <v>0.65338164251207731</v>
      </c>
      <c r="Z9" s="10">
        <f t="shared" si="6"/>
        <v>0.19414251207729469</v>
      </c>
      <c r="AA9" s="10">
        <f t="shared" si="7"/>
        <v>0.15247584541062803</v>
      </c>
    </row>
    <row r="10" spans="1:27" x14ac:dyDescent="0.35">
      <c r="A10" t="s">
        <v>12</v>
      </c>
      <c r="B10" s="3">
        <v>5023</v>
      </c>
      <c r="C10">
        <v>108</v>
      </c>
      <c r="D10">
        <v>37</v>
      </c>
      <c r="E10">
        <v>99</v>
      </c>
      <c r="F10">
        <v>248</v>
      </c>
      <c r="G10" s="3">
        <v>5433</v>
      </c>
      <c r="H10" s="3">
        <v>7084</v>
      </c>
      <c r="I10" s="3">
        <v>1714</v>
      </c>
      <c r="J10">
        <v>263</v>
      </c>
      <c r="K10" s="3">
        <v>1215</v>
      </c>
      <c r="L10">
        <v>562</v>
      </c>
      <c r="M10">
        <v>0</v>
      </c>
      <c r="N10" s="3">
        <v>12108</v>
      </c>
      <c r="O10" s="3">
        <v>1819</v>
      </c>
      <c r="P10">
        <v>298</v>
      </c>
      <c r="Q10" s="3">
        <v>1311</v>
      </c>
      <c r="R10">
        <v>817</v>
      </c>
      <c r="S10" s="3">
        <v>5433</v>
      </c>
      <c r="T10" s="3">
        <f t="shared" si="0"/>
        <v>5267</v>
      </c>
      <c r="U10" s="3">
        <f t="shared" si="1"/>
        <v>10276</v>
      </c>
      <c r="V10" s="10">
        <f t="shared" si="2"/>
        <v>0.95367381811277763</v>
      </c>
      <c r="W10" s="10">
        <f t="shared" si="3"/>
        <v>2.7529903170685401E-2</v>
      </c>
      <c r="X10" s="10">
        <f t="shared" si="4"/>
        <v>1.8796278716536927E-2</v>
      </c>
      <c r="Y10" s="10">
        <f t="shared" si="5"/>
        <v>0.68937329700272476</v>
      </c>
      <c r="Z10" s="10">
        <f t="shared" si="6"/>
        <v>0.1923900350330868</v>
      </c>
      <c r="AA10" s="10">
        <f t="shared" si="7"/>
        <v>0.1182366679641884</v>
      </c>
    </row>
    <row r="11" spans="1:27" x14ac:dyDescent="0.35">
      <c r="A11" t="s">
        <v>13</v>
      </c>
      <c r="B11" s="3">
        <v>2614</v>
      </c>
      <c r="C11">
        <v>31</v>
      </c>
      <c r="D11">
        <v>7</v>
      </c>
      <c r="E11">
        <v>26</v>
      </c>
      <c r="F11">
        <v>98</v>
      </c>
      <c r="G11" s="3">
        <v>2781</v>
      </c>
      <c r="H11" s="3">
        <v>4343</v>
      </c>
      <c r="I11">
        <v>746</v>
      </c>
      <c r="J11">
        <v>77</v>
      </c>
      <c r="K11">
        <v>430</v>
      </c>
      <c r="L11">
        <v>190</v>
      </c>
      <c r="M11">
        <v>0</v>
      </c>
      <c r="N11" s="3">
        <v>6959</v>
      </c>
      <c r="O11">
        <v>777</v>
      </c>
      <c r="P11">
        <v>83</v>
      </c>
      <c r="Q11">
        <v>460</v>
      </c>
      <c r="R11">
        <v>283</v>
      </c>
      <c r="S11" s="3">
        <v>2781</v>
      </c>
      <c r="T11" s="3">
        <f t="shared" si="0"/>
        <v>2678</v>
      </c>
      <c r="U11" s="3">
        <f t="shared" si="1"/>
        <v>5596</v>
      </c>
      <c r="V11" s="10">
        <f t="shared" si="2"/>
        <v>0.97610156833457806</v>
      </c>
      <c r="W11" s="10">
        <f t="shared" si="3"/>
        <v>1.4189693801344288E-2</v>
      </c>
      <c r="X11" s="10">
        <f t="shared" si="4"/>
        <v>9.7087378640776691E-3</v>
      </c>
      <c r="Y11" s="10">
        <f t="shared" si="5"/>
        <v>0.7760900643316655</v>
      </c>
      <c r="Z11" s="10">
        <f t="shared" si="6"/>
        <v>0.14706933523945676</v>
      </c>
      <c r="AA11" s="10">
        <f t="shared" si="7"/>
        <v>7.6840600428877776E-2</v>
      </c>
    </row>
    <row r="12" spans="1:27" x14ac:dyDescent="0.35">
      <c r="A12" t="s">
        <v>14</v>
      </c>
      <c r="B12" s="3">
        <v>6278</v>
      </c>
      <c r="C12">
        <v>79</v>
      </c>
      <c r="D12">
        <v>38</v>
      </c>
      <c r="E12">
        <v>118</v>
      </c>
      <c r="F12">
        <v>247</v>
      </c>
      <c r="G12" s="3">
        <v>7056</v>
      </c>
      <c r="H12" s="3">
        <v>12397</v>
      </c>
      <c r="I12" s="3">
        <v>2355</v>
      </c>
      <c r="J12">
        <v>376</v>
      </c>
      <c r="K12" s="3">
        <v>2345</v>
      </c>
      <c r="L12">
        <v>891</v>
      </c>
      <c r="M12">
        <v>0</v>
      </c>
      <c r="N12" s="3">
        <v>18681</v>
      </c>
      <c r="O12" s="3">
        <v>2439</v>
      </c>
      <c r="P12">
        <v>416</v>
      </c>
      <c r="Q12" s="3">
        <v>2468</v>
      </c>
      <c r="R12" s="3">
        <v>1139</v>
      </c>
      <c r="S12" s="3">
        <v>7056</v>
      </c>
      <c r="T12" s="3">
        <f t="shared" si="0"/>
        <v>6513</v>
      </c>
      <c r="U12" s="3">
        <f t="shared" si="1"/>
        <v>17473</v>
      </c>
      <c r="V12" s="10">
        <f t="shared" si="2"/>
        <v>0.96391831721173038</v>
      </c>
      <c r="W12" s="10">
        <f t="shared" si="3"/>
        <v>1.7964071856287425E-2</v>
      </c>
      <c r="X12" s="10">
        <f t="shared" si="4"/>
        <v>1.8117610931982189E-2</v>
      </c>
      <c r="Y12" s="10">
        <f t="shared" si="5"/>
        <v>0.70949464888685398</v>
      </c>
      <c r="Z12" s="10">
        <f t="shared" si="6"/>
        <v>0.15629828878841642</v>
      </c>
      <c r="AA12" s="10">
        <f t="shared" si="7"/>
        <v>0.13420706232472959</v>
      </c>
    </row>
    <row r="13" spans="1:27" x14ac:dyDescent="0.35">
      <c r="A13" t="s">
        <v>15</v>
      </c>
      <c r="B13" s="3">
        <v>7103</v>
      </c>
      <c r="C13">
        <v>112</v>
      </c>
      <c r="D13">
        <v>41</v>
      </c>
      <c r="E13">
        <v>192</v>
      </c>
      <c r="F13">
        <v>323</v>
      </c>
      <c r="G13" s="3">
        <v>7986</v>
      </c>
      <c r="H13" s="3">
        <v>11713</v>
      </c>
      <c r="I13" s="3">
        <v>2398</v>
      </c>
      <c r="J13">
        <v>376</v>
      </c>
      <c r="K13" s="3">
        <v>2641</v>
      </c>
      <c r="L13" s="3">
        <v>1200</v>
      </c>
      <c r="M13">
        <v>0</v>
      </c>
      <c r="N13" s="3">
        <v>18822</v>
      </c>
      <c r="O13" s="3">
        <v>2512</v>
      </c>
      <c r="P13">
        <v>425</v>
      </c>
      <c r="Q13" s="3">
        <v>2830</v>
      </c>
      <c r="R13" s="3">
        <v>1525</v>
      </c>
      <c r="S13" s="3">
        <v>7986</v>
      </c>
      <c r="T13" s="3">
        <f t="shared" si="0"/>
        <v>7448</v>
      </c>
      <c r="U13" s="3">
        <f t="shared" si="1"/>
        <v>17128</v>
      </c>
      <c r="V13" s="10">
        <f t="shared" si="2"/>
        <v>0.9536788399570354</v>
      </c>
      <c r="W13" s="10">
        <f t="shared" si="3"/>
        <v>2.0542427497314716E-2</v>
      </c>
      <c r="X13" s="10">
        <f t="shared" si="4"/>
        <v>2.577873254564984E-2</v>
      </c>
      <c r="Y13" s="10">
        <f t="shared" si="5"/>
        <v>0.6838510042036432</v>
      </c>
      <c r="Z13" s="10">
        <f t="shared" si="6"/>
        <v>0.16195702942550211</v>
      </c>
      <c r="AA13" s="10">
        <f t="shared" si="7"/>
        <v>0.15419196637085475</v>
      </c>
    </row>
    <row r="14" spans="1:27" x14ac:dyDescent="0.35">
      <c r="A14" t="s">
        <v>16</v>
      </c>
      <c r="B14" s="3">
        <v>5445</v>
      </c>
      <c r="C14">
        <v>93</v>
      </c>
      <c r="D14">
        <v>35</v>
      </c>
      <c r="E14">
        <v>111</v>
      </c>
      <c r="F14">
        <v>205</v>
      </c>
      <c r="G14" s="3">
        <v>5713</v>
      </c>
      <c r="H14" s="3">
        <v>8647</v>
      </c>
      <c r="I14" s="3">
        <v>1916</v>
      </c>
      <c r="J14">
        <v>272</v>
      </c>
      <c r="K14" s="3">
        <v>1387</v>
      </c>
      <c r="L14">
        <v>563</v>
      </c>
      <c r="M14">
        <v>0</v>
      </c>
      <c r="N14" s="3">
        <v>14092</v>
      </c>
      <c r="O14" s="3">
        <v>2013</v>
      </c>
      <c r="P14">
        <v>307</v>
      </c>
      <c r="Q14" s="3">
        <v>1500</v>
      </c>
      <c r="R14">
        <v>770</v>
      </c>
      <c r="S14" s="3">
        <v>5713</v>
      </c>
      <c r="T14" s="3">
        <f t="shared" si="0"/>
        <v>5684</v>
      </c>
      <c r="U14" s="3">
        <f t="shared" si="1"/>
        <v>12222</v>
      </c>
      <c r="V14" s="10">
        <f t="shared" si="2"/>
        <v>0.95795214637579174</v>
      </c>
      <c r="W14" s="10">
        <f t="shared" si="3"/>
        <v>2.2519352568613652E-2</v>
      </c>
      <c r="X14" s="10">
        <f t="shared" si="4"/>
        <v>1.9528501055594651E-2</v>
      </c>
      <c r="Y14" s="10">
        <f t="shared" si="5"/>
        <v>0.70749468172148589</v>
      </c>
      <c r="Z14" s="10">
        <f t="shared" si="6"/>
        <v>0.17902143675339552</v>
      </c>
      <c r="AA14" s="10">
        <f t="shared" si="7"/>
        <v>0.11348388152511864</v>
      </c>
    </row>
    <row r="15" spans="1:27" ht="15" x14ac:dyDescent="0.4">
      <c r="A15" s="11" t="s">
        <v>567</v>
      </c>
      <c r="B15" s="3">
        <f>SUM(B5:B14)</f>
        <v>55535</v>
      </c>
      <c r="C15" s="3">
        <f t="shared" ref="C15:S15" si="8">SUM(C5:C14)</f>
        <v>965</v>
      </c>
      <c r="D15" s="3">
        <f t="shared" si="8"/>
        <v>330</v>
      </c>
      <c r="E15" s="3">
        <f t="shared" si="8"/>
        <v>1265</v>
      </c>
      <c r="F15" s="3">
        <f t="shared" si="8"/>
        <v>2554</v>
      </c>
      <c r="G15" s="3">
        <f t="shared" si="8"/>
        <v>60476</v>
      </c>
      <c r="H15" s="3">
        <f t="shared" si="8"/>
        <v>91425</v>
      </c>
      <c r="I15" s="3">
        <f t="shared" si="8"/>
        <v>18825</v>
      </c>
      <c r="J15" s="3">
        <f t="shared" si="8"/>
        <v>3122</v>
      </c>
      <c r="K15" s="3">
        <f t="shared" si="8"/>
        <v>18412</v>
      </c>
      <c r="L15" s="3">
        <f t="shared" si="8"/>
        <v>7636</v>
      </c>
      <c r="M15" s="3">
        <f t="shared" si="8"/>
        <v>0</v>
      </c>
      <c r="N15" s="3">
        <f t="shared" si="8"/>
        <v>146971</v>
      </c>
      <c r="O15" s="3">
        <f t="shared" si="8"/>
        <v>19806</v>
      </c>
      <c r="P15" s="3">
        <f t="shared" si="8"/>
        <v>3444</v>
      </c>
      <c r="Q15" s="3">
        <f t="shared" si="8"/>
        <v>19682</v>
      </c>
      <c r="R15" s="3">
        <f t="shared" si="8"/>
        <v>10196</v>
      </c>
      <c r="S15" s="3">
        <f t="shared" si="8"/>
        <v>60476</v>
      </c>
      <c r="T15" s="3">
        <f t="shared" si="0"/>
        <v>58095</v>
      </c>
      <c r="U15" s="3">
        <f t="shared" si="1"/>
        <v>131784</v>
      </c>
      <c r="V15" s="10">
        <f t="shared" si="2"/>
        <v>0.95593424563215423</v>
      </c>
      <c r="W15" s="10">
        <f t="shared" si="3"/>
        <v>2.2291074963421982E-2</v>
      </c>
      <c r="X15" s="10">
        <f t="shared" si="4"/>
        <v>2.1774679404423788E-2</v>
      </c>
      <c r="Y15" s="10">
        <f t="shared" si="5"/>
        <v>0.69374886177381168</v>
      </c>
      <c r="Z15" s="10">
        <f t="shared" si="6"/>
        <v>0.16653766769865841</v>
      </c>
      <c r="AA15" s="10">
        <f t="shared" si="7"/>
        <v>0.13971347052752989</v>
      </c>
    </row>
    <row r="16" spans="1:27" x14ac:dyDescent="0.35">
      <c r="A16" t="s">
        <v>637</v>
      </c>
      <c r="B16" s="37">
        <v>150</v>
      </c>
      <c r="C16" s="37">
        <v>3</v>
      </c>
      <c r="D16" s="37">
        <v>0</v>
      </c>
      <c r="E16" s="37">
        <v>4</v>
      </c>
      <c r="F16" s="37">
        <v>11</v>
      </c>
      <c r="G16" s="37">
        <v>134</v>
      </c>
      <c r="H16" s="37">
        <v>301</v>
      </c>
      <c r="I16" s="37">
        <v>38</v>
      </c>
      <c r="J16" s="37">
        <v>0</v>
      </c>
      <c r="K16" s="37">
        <v>56</v>
      </c>
      <c r="L16" s="37">
        <v>13</v>
      </c>
      <c r="M16" s="37">
        <v>0</v>
      </c>
      <c r="T16" s="3">
        <f t="shared" ref="T16" si="9">SUM(B16:E16)</f>
        <v>157</v>
      </c>
      <c r="U16" s="3">
        <f t="shared" ref="U16" si="10">SUM(H16:K16)</f>
        <v>395</v>
      </c>
      <c r="V16" s="10">
        <f t="shared" ref="V16" si="11">B16/T16</f>
        <v>0.95541401273885351</v>
      </c>
      <c r="W16" s="10">
        <f t="shared" ref="W16" si="12">(C16+D16)/T16</f>
        <v>1.9108280254777069E-2</v>
      </c>
      <c r="X16" s="10">
        <f t="shared" ref="X16" si="13">E16/T16</f>
        <v>2.5477707006369428E-2</v>
      </c>
      <c r="Y16" s="10">
        <f t="shared" ref="Y16" si="14">H16/U16</f>
        <v>0.76202531645569616</v>
      </c>
      <c r="Z16" s="10">
        <f t="shared" ref="Z16" si="15">(I16+J16)/U16</f>
        <v>9.6202531645569619E-2</v>
      </c>
      <c r="AA16" s="10">
        <f t="shared" ref="AA16" si="16">K16/U16</f>
        <v>0.14177215189873418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1"/>
  <sheetViews>
    <sheetView topLeftCell="A237" workbookViewId="0">
      <selection activeCell="S268" sqref="S268"/>
    </sheetView>
  </sheetViews>
  <sheetFormatPr defaultRowHeight="14.5" x14ac:dyDescent="0.35"/>
  <cols>
    <col min="1" max="1" width="18.81640625" customWidth="1"/>
  </cols>
  <sheetData>
    <row r="1" spans="1:12" x14ac:dyDescent="0.35">
      <c r="A1" s="4" t="s">
        <v>77</v>
      </c>
    </row>
    <row r="2" spans="1:12" x14ac:dyDescent="0.35">
      <c r="A2" s="4" t="s">
        <v>332</v>
      </c>
    </row>
    <row r="3" spans="1:12" x14ac:dyDescent="0.35"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  <c r="J3" t="s">
        <v>15</v>
      </c>
      <c r="K3" t="s">
        <v>16</v>
      </c>
      <c r="L3" t="s">
        <v>637</v>
      </c>
    </row>
    <row r="4" spans="1:12" x14ac:dyDescent="0.35">
      <c r="A4" t="s">
        <v>108</v>
      </c>
      <c r="B4">
        <v>17</v>
      </c>
      <c r="C4">
        <v>40</v>
      </c>
      <c r="D4">
        <v>16</v>
      </c>
      <c r="E4">
        <v>13</v>
      </c>
      <c r="F4">
        <v>7</v>
      </c>
      <c r="G4">
        <v>38</v>
      </c>
      <c r="H4">
        <v>18</v>
      </c>
      <c r="I4">
        <v>18</v>
      </c>
      <c r="J4">
        <v>51</v>
      </c>
      <c r="K4">
        <v>12</v>
      </c>
      <c r="L4">
        <v>0</v>
      </c>
    </row>
    <row r="5" spans="1:12" x14ac:dyDescent="0.35">
      <c r="A5" t="s">
        <v>163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35">
      <c r="A6" t="s">
        <v>100</v>
      </c>
      <c r="B6">
        <v>51</v>
      </c>
      <c r="C6">
        <v>413</v>
      </c>
      <c r="D6">
        <v>236</v>
      </c>
      <c r="E6">
        <v>166</v>
      </c>
      <c r="F6">
        <v>13</v>
      </c>
      <c r="G6">
        <v>187</v>
      </c>
      <c r="H6">
        <v>82</v>
      </c>
      <c r="I6">
        <v>280</v>
      </c>
      <c r="J6">
        <v>239</v>
      </c>
      <c r="K6">
        <v>218</v>
      </c>
      <c r="L6">
        <v>8</v>
      </c>
    </row>
    <row r="7" spans="1:12" x14ac:dyDescent="0.35">
      <c r="A7" t="s">
        <v>126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4</v>
      </c>
      <c r="K7">
        <v>0</v>
      </c>
      <c r="L7">
        <v>0</v>
      </c>
    </row>
    <row r="8" spans="1:12" x14ac:dyDescent="0.35">
      <c r="A8" t="s">
        <v>244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35">
      <c r="A9" t="s">
        <v>122</v>
      </c>
      <c r="B9">
        <v>4</v>
      </c>
      <c r="C9">
        <v>16</v>
      </c>
      <c r="D9">
        <v>18</v>
      </c>
      <c r="E9">
        <v>6</v>
      </c>
      <c r="F9">
        <v>0</v>
      </c>
      <c r="G9">
        <v>3</v>
      </c>
      <c r="H9">
        <v>11</v>
      </c>
      <c r="I9">
        <v>6</v>
      </c>
      <c r="J9">
        <v>9</v>
      </c>
      <c r="K9">
        <v>7</v>
      </c>
      <c r="L9">
        <v>0</v>
      </c>
    </row>
    <row r="10" spans="1:12" x14ac:dyDescent="0.35">
      <c r="A10" t="s">
        <v>233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35">
      <c r="A11" t="s">
        <v>230</v>
      </c>
      <c r="B11">
        <v>0</v>
      </c>
      <c r="C11">
        <v>0</v>
      </c>
      <c r="D11">
        <v>9</v>
      </c>
      <c r="E11">
        <v>0</v>
      </c>
      <c r="F11">
        <v>0</v>
      </c>
      <c r="G11">
        <v>0</v>
      </c>
      <c r="H11">
        <v>0</v>
      </c>
      <c r="I11">
        <v>0</v>
      </c>
      <c r="J11">
        <v>5</v>
      </c>
      <c r="K11">
        <v>0</v>
      </c>
      <c r="L11">
        <v>0</v>
      </c>
    </row>
    <row r="12" spans="1:12" x14ac:dyDescent="0.35">
      <c r="A12" t="s">
        <v>232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35">
      <c r="A13" t="s">
        <v>234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35">
      <c r="A14" t="s">
        <v>231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</row>
    <row r="15" spans="1:12" x14ac:dyDescent="0.35">
      <c r="A15" t="s">
        <v>123</v>
      </c>
      <c r="B15">
        <v>19</v>
      </c>
      <c r="C15">
        <v>79</v>
      </c>
      <c r="D15">
        <v>51</v>
      </c>
      <c r="E15">
        <v>38</v>
      </c>
      <c r="F15">
        <v>5</v>
      </c>
      <c r="G15">
        <v>42</v>
      </c>
      <c r="H15">
        <v>17</v>
      </c>
      <c r="I15">
        <v>51</v>
      </c>
      <c r="J15">
        <v>45</v>
      </c>
      <c r="K15">
        <v>43</v>
      </c>
      <c r="L15">
        <v>0</v>
      </c>
    </row>
    <row r="16" spans="1:12" x14ac:dyDescent="0.35">
      <c r="A16" t="s">
        <v>237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35">
      <c r="A17" t="s">
        <v>236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35">
      <c r="A18" t="s">
        <v>238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35">
      <c r="A19" t="s">
        <v>235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35">
      <c r="A20" t="s">
        <v>119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35">
      <c r="A21" t="s">
        <v>215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35">
      <c r="A22" t="s">
        <v>211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35">
      <c r="A23" t="s">
        <v>212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35">
      <c r="A24" t="s">
        <v>214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35">
      <c r="A25" t="s">
        <v>216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35">
      <c r="A26" t="s">
        <v>210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35">
      <c r="A27" t="s">
        <v>209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35">
      <c r="A28" t="s">
        <v>213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35">
      <c r="A29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35">
      <c r="A30" t="s">
        <v>242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35">
      <c r="A31" t="s">
        <v>243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35">
      <c r="A32" t="s">
        <v>127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4</v>
      </c>
      <c r="K32">
        <v>0</v>
      </c>
      <c r="L32">
        <v>0</v>
      </c>
    </row>
    <row r="33" spans="1:12" x14ac:dyDescent="0.35">
      <c r="A33" t="s">
        <v>121</v>
      </c>
      <c r="B33">
        <v>0</v>
      </c>
      <c r="C33">
        <v>0</v>
      </c>
      <c r="D33">
        <v>0</v>
      </c>
      <c r="E33">
        <v>3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35">
      <c r="A34" t="s">
        <v>228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35">
      <c r="A35" t="s">
        <v>224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35">
      <c r="A36" t="s">
        <v>225</v>
      </c>
      <c r="B36">
        <v>0</v>
      </c>
      <c r="C36">
        <v>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35">
      <c r="A37" t="s">
        <v>227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12" x14ac:dyDescent="0.35">
      <c r="A38" t="s">
        <v>229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35">
      <c r="A39" t="s">
        <v>226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35">
      <c r="A40" t="s">
        <v>120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10</v>
      </c>
      <c r="J40">
        <v>0</v>
      </c>
      <c r="K40">
        <v>0</v>
      </c>
      <c r="L40">
        <v>0</v>
      </c>
    </row>
    <row r="41" spans="1:12" x14ac:dyDescent="0.35">
      <c r="A41" t="s">
        <v>222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35">
      <c r="A42" t="s">
        <v>218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35">
      <c r="A43" t="s">
        <v>219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4</v>
      </c>
      <c r="J43">
        <v>0</v>
      </c>
      <c r="K43">
        <v>0</v>
      </c>
      <c r="L43">
        <v>0</v>
      </c>
    </row>
    <row r="44" spans="1:12" x14ac:dyDescent="0.35">
      <c r="A44" t="s">
        <v>221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35">
      <c r="A45" t="s">
        <v>223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35">
      <c r="A46" t="s">
        <v>217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35">
      <c r="A47" t="s">
        <v>220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</row>
    <row r="48" spans="1:12" x14ac:dyDescent="0.35">
      <c r="A48" t="s">
        <v>124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35">
      <c r="A49" t="s">
        <v>240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</row>
    <row r="50" spans="1:12" x14ac:dyDescent="0.35">
      <c r="A50" t="s">
        <v>239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35">
      <c r="A51" t="s">
        <v>241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2" x14ac:dyDescent="0.35">
      <c r="A52" t="s">
        <v>152</v>
      </c>
      <c r="B52">
        <v>0</v>
      </c>
      <c r="C52">
        <v>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4</v>
      </c>
      <c r="K52">
        <v>0</v>
      </c>
      <c r="L52">
        <v>0</v>
      </c>
    </row>
    <row r="53" spans="1:12" x14ac:dyDescent="0.35">
      <c r="A53" t="s">
        <v>318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35">
      <c r="A54" t="s">
        <v>149</v>
      </c>
      <c r="B54">
        <v>33</v>
      </c>
      <c r="C54">
        <v>118</v>
      </c>
      <c r="D54">
        <v>69</v>
      </c>
      <c r="E54">
        <v>43</v>
      </c>
      <c r="F54">
        <v>15</v>
      </c>
      <c r="G54">
        <v>46</v>
      </c>
      <c r="H54">
        <v>22</v>
      </c>
      <c r="I54">
        <v>63</v>
      </c>
      <c r="J54">
        <v>72</v>
      </c>
      <c r="K54">
        <v>72</v>
      </c>
      <c r="L54">
        <v>0</v>
      </c>
    </row>
    <row r="55" spans="1:12" x14ac:dyDescent="0.35">
      <c r="A55" t="s">
        <v>311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</row>
    <row r="56" spans="1:12" x14ac:dyDescent="0.35">
      <c r="A56" t="s">
        <v>310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35">
      <c r="A57" t="s">
        <v>312</v>
      </c>
      <c r="B57">
        <v>0</v>
      </c>
      <c r="C57">
        <v>4</v>
      </c>
      <c r="D57">
        <v>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35">
      <c r="A58" t="s">
        <v>309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35">
      <c r="A59" t="s">
        <v>151</v>
      </c>
      <c r="B59">
        <v>0</v>
      </c>
      <c r="C59">
        <v>6</v>
      </c>
      <c r="D59">
        <v>0</v>
      </c>
      <c r="E59">
        <v>4</v>
      </c>
      <c r="F59">
        <v>0</v>
      </c>
      <c r="G59">
        <v>0</v>
      </c>
      <c r="H59">
        <v>0</v>
      </c>
      <c r="I59">
        <v>7</v>
      </c>
      <c r="J59">
        <v>3</v>
      </c>
      <c r="K59">
        <v>3</v>
      </c>
      <c r="L59">
        <v>0</v>
      </c>
    </row>
    <row r="60" spans="1:12" x14ac:dyDescent="0.35">
      <c r="A60" t="s">
        <v>316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35">
      <c r="A61" t="s">
        <v>317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35">
      <c r="A62" t="s">
        <v>153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</v>
      </c>
      <c r="I62">
        <v>6</v>
      </c>
      <c r="J62">
        <v>4</v>
      </c>
      <c r="K62">
        <v>0</v>
      </c>
      <c r="L62">
        <v>0</v>
      </c>
    </row>
    <row r="63" spans="1:12" x14ac:dyDescent="0.35">
      <c r="A63" t="s">
        <v>150</v>
      </c>
      <c r="B63">
        <v>6</v>
      </c>
      <c r="C63">
        <v>10</v>
      </c>
      <c r="D63">
        <v>3</v>
      </c>
      <c r="E63">
        <v>0</v>
      </c>
      <c r="F63">
        <v>0</v>
      </c>
      <c r="G63">
        <v>3</v>
      </c>
      <c r="H63">
        <v>0</v>
      </c>
      <c r="I63">
        <v>0</v>
      </c>
      <c r="J63">
        <v>0</v>
      </c>
      <c r="K63">
        <v>6</v>
      </c>
      <c r="L63">
        <v>0</v>
      </c>
    </row>
    <row r="64" spans="1:12" x14ac:dyDescent="0.35">
      <c r="A64" t="s">
        <v>314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35">
      <c r="A65" t="s">
        <v>313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35">
      <c r="A66" t="s">
        <v>315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35">
      <c r="A67" t="s">
        <v>156</v>
      </c>
      <c r="B67">
        <v>3</v>
      </c>
      <c r="C67">
        <v>5</v>
      </c>
      <c r="D67">
        <v>0</v>
      </c>
      <c r="E67">
        <v>0</v>
      </c>
      <c r="F67">
        <v>0</v>
      </c>
      <c r="G67">
        <v>6</v>
      </c>
      <c r="H67">
        <v>0</v>
      </c>
      <c r="I67">
        <v>0</v>
      </c>
      <c r="J67">
        <v>4</v>
      </c>
      <c r="K67">
        <v>0</v>
      </c>
      <c r="L67">
        <v>0</v>
      </c>
    </row>
    <row r="68" spans="1:12" x14ac:dyDescent="0.35">
      <c r="A68" t="s">
        <v>324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35">
      <c r="A69" t="s">
        <v>155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35">
      <c r="A70" t="s">
        <v>322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35">
      <c r="A71" t="s">
        <v>323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</row>
    <row r="72" spans="1:12" x14ac:dyDescent="0.35">
      <c r="A72" t="s">
        <v>157</v>
      </c>
      <c r="B72">
        <v>0</v>
      </c>
      <c r="C72">
        <v>0</v>
      </c>
      <c r="D72">
        <v>0</v>
      </c>
      <c r="E72">
        <v>4</v>
      </c>
      <c r="F72">
        <v>0</v>
      </c>
      <c r="G72">
        <v>6</v>
      </c>
      <c r="H72">
        <v>0</v>
      </c>
      <c r="I72">
        <v>3</v>
      </c>
      <c r="J72">
        <v>5</v>
      </c>
      <c r="K72">
        <v>0</v>
      </c>
      <c r="L72">
        <v>0</v>
      </c>
    </row>
    <row r="73" spans="1:12" x14ac:dyDescent="0.35">
      <c r="A73" t="s">
        <v>154</v>
      </c>
      <c r="B73">
        <v>0</v>
      </c>
      <c r="C73">
        <v>5</v>
      </c>
      <c r="D73">
        <v>0</v>
      </c>
      <c r="E73">
        <v>0</v>
      </c>
      <c r="F73">
        <v>0</v>
      </c>
      <c r="G73">
        <v>0</v>
      </c>
      <c r="H73">
        <v>0</v>
      </c>
      <c r="I73">
        <v>4</v>
      </c>
      <c r="J73">
        <v>4</v>
      </c>
      <c r="K73">
        <v>0</v>
      </c>
      <c r="L73">
        <v>0</v>
      </c>
    </row>
    <row r="74" spans="1:12" x14ac:dyDescent="0.35">
      <c r="A74" t="s">
        <v>320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x14ac:dyDescent="0.35">
      <c r="A75" t="s">
        <v>319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</row>
    <row r="76" spans="1:12" x14ac:dyDescent="0.35">
      <c r="A76" t="s">
        <v>321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7" spans="1:12" x14ac:dyDescent="0.35">
      <c r="A77" t="s">
        <v>104</v>
      </c>
      <c r="B77" s="3">
        <v>3935</v>
      </c>
      <c r="C77" s="3">
        <v>11587</v>
      </c>
      <c r="D77" s="3">
        <v>7002</v>
      </c>
      <c r="E77" s="3">
        <v>4492</v>
      </c>
      <c r="F77" s="3">
        <v>1420</v>
      </c>
      <c r="G77" s="3">
        <v>5050</v>
      </c>
      <c r="H77" s="3">
        <v>2729</v>
      </c>
      <c r="I77" s="3">
        <v>6691</v>
      </c>
      <c r="J77" s="3">
        <v>5993</v>
      </c>
      <c r="K77" s="3">
        <v>6237</v>
      </c>
      <c r="L77">
        <v>208</v>
      </c>
    </row>
    <row r="78" spans="1:12" x14ac:dyDescent="0.35">
      <c r="A78" t="s">
        <v>105</v>
      </c>
      <c r="B78" s="3">
        <v>1015</v>
      </c>
      <c r="C78" s="3">
        <v>3295</v>
      </c>
      <c r="D78" s="3">
        <v>1980</v>
      </c>
      <c r="E78" s="3">
        <v>1492</v>
      </c>
      <c r="F78">
        <v>380</v>
      </c>
      <c r="G78" s="3">
        <v>1552</v>
      </c>
      <c r="H78">
        <v>657</v>
      </c>
      <c r="I78" s="3">
        <v>1606</v>
      </c>
      <c r="J78" s="3">
        <v>1981</v>
      </c>
      <c r="K78" s="3">
        <v>1504</v>
      </c>
      <c r="L78">
        <v>47</v>
      </c>
    </row>
    <row r="79" spans="1:12" x14ac:dyDescent="0.35">
      <c r="A79" t="s">
        <v>101</v>
      </c>
      <c r="B79">
        <v>0</v>
      </c>
      <c r="C79">
        <v>6</v>
      </c>
      <c r="D79">
        <v>7</v>
      </c>
      <c r="E79">
        <v>4</v>
      </c>
      <c r="F79">
        <v>0</v>
      </c>
      <c r="G79">
        <v>6</v>
      </c>
      <c r="H79">
        <v>0</v>
      </c>
      <c r="I79">
        <v>0</v>
      </c>
      <c r="J79">
        <v>3</v>
      </c>
      <c r="K79">
        <v>3</v>
      </c>
      <c r="L79">
        <v>0</v>
      </c>
    </row>
    <row r="80" spans="1:12" x14ac:dyDescent="0.35">
      <c r="A80" t="s">
        <v>134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x14ac:dyDescent="0.35">
      <c r="A81" t="s">
        <v>272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35">
      <c r="A82" t="s">
        <v>130</v>
      </c>
      <c r="B82">
        <v>0</v>
      </c>
      <c r="C82">
        <v>3</v>
      </c>
      <c r="D82">
        <v>0</v>
      </c>
      <c r="E82">
        <v>0</v>
      </c>
      <c r="F82">
        <v>0</v>
      </c>
      <c r="G82">
        <v>0</v>
      </c>
      <c r="H82">
        <v>0</v>
      </c>
      <c r="I82">
        <v>3</v>
      </c>
      <c r="J82">
        <v>0</v>
      </c>
      <c r="K82">
        <v>0</v>
      </c>
      <c r="L82">
        <v>0</v>
      </c>
    </row>
    <row r="83" spans="1:12" x14ac:dyDescent="0.35">
      <c r="A83" t="s">
        <v>261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35">
      <c r="A84" t="s">
        <v>258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35">
      <c r="A85" t="s">
        <v>260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35">
      <c r="A86" t="s">
        <v>262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35">
      <c r="A87" t="s">
        <v>259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35">
      <c r="A88" t="s">
        <v>131</v>
      </c>
      <c r="B88">
        <v>0</v>
      </c>
      <c r="C88">
        <v>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35">
      <c r="A89" t="s">
        <v>265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35">
      <c r="A90" t="s">
        <v>264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35">
      <c r="A91" t="s">
        <v>266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 x14ac:dyDescent="0.35">
      <c r="A92" t="s">
        <v>263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 x14ac:dyDescent="0.35">
      <c r="A93" t="s">
        <v>133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35">
      <c r="A94" t="s">
        <v>270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35">
      <c r="A95" t="s">
        <v>271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 x14ac:dyDescent="0.35">
      <c r="A96" t="s">
        <v>135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35">
      <c r="A97" t="s">
        <v>129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</row>
    <row r="98" spans="1:12" x14ac:dyDescent="0.35">
      <c r="A98" t="s">
        <v>256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35">
      <c r="A99" t="s">
        <v>252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35">
      <c r="A100" t="s">
        <v>253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x14ac:dyDescent="0.35">
      <c r="A101" t="s">
        <v>255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</row>
    <row r="102" spans="1:12" x14ac:dyDescent="0.35">
      <c r="A102" t="s">
        <v>257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x14ac:dyDescent="0.35">
      <c r="A103" t="s">
        <v>254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</row>
    <row r="104" spans="1:12" x14ac:dyDescent="0.35">
      <c r="A104" t="s">
        <v>128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35">
      <c r="A105" t="s">
        <v>250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35">
      <c r="A106" t="s">
        <v>246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35">
      <c r="A107" t="s">
        <v>247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35">
      <c r="A108" t="s">
        <v>249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35">
      <c r="A109" t="s">
        <v>251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35">
      <c r="A110" t="s">
        <v>245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35">
      <c r="A111" t="s">
        <v>248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35">
      <c r="A112" t="s">
        <v>132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35">
      <c r="A113" t="s">
        <v>268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35">
      <c r="A114" t="s">
        <v>267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35">
      <c r="A115" t="s">
        <v>269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35">
      <c r="A116" t="s">
        <v>107</v>
      </c>
      <c r="B116">
        <v>18</v>
      </c>
      <c r="C116">
        <v>46</v>
      </c>
      <c r="D116">
        <v>20</v>
      </c>
      <c r="E116">
        <v>17</v>
      </c>
      <c r="F116">
        <v>3</v>
      </c>
      <c r="G116">
        <v>11</v>
      </c>
      <c r="H116">
        <v>13</v>
      </c>
      <c r="I116">
        <v>23</v>
      </c>
      <c r="J116">
        <v>31</v>
      </c>
      <c r="K116">
        <v>24</v>
      </c>
      <c r="L116">
        <v>0</v>
      </c>
    </row>
    <row r="117" spans="1:12" x14ac:dyDescent="0.35">
      <c r="A117" t="s">
        <v>161</v>
      </c>
      <c r="B117">
        <v>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35">
      <c r="A118" t="s">
        <v>328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</row>
    <row r="119" spans="1:12" x14ac:dyDescent="0.35">
      <c r="A119" t="s">
        <v>162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35">
      <c r="A120" t="s">
        <v>46</v>
      </c>
      <c r="B120">
        <v>6</v>
      </c>
      <c r="C120">
        <v>53</v>
      </c>
      <c r="D120">
        <v>37</v>
      </c>
      <c r="E120">
        <v>22</v>
      </c>
      <c r="F120">
        <v>14</v>
      </c>
      <c r="G120">
        <v>72</v>
      </c>
      <c r="H120">
        <v>18</v>
      </c>
      <c r="I120">
        <v>19</v>
      </c>
      <c r="J120">
        <v>31</v>
      </c>
      <c r="K120">
        <v>8</v>
      </c>
      <c r="L120">
        <v>0</v>
      </c>
    </row>
    <row r="121" spans="1:12" x14ac:dyDescent="0.35">
      <c r="A121" t="s">
        <v>103</v>
      </c>
      <c r="B121">
        <v>5</v>
      </c>
      <c r="C121">
        <v>18</v>
      </c>
      <c r="D121">
        <v>13</v>
      </c>
      <c r="E121">
        <v>10</v>
      </c>
      <c r="F121">
        <v>0</v>
      </c>
      <c r="G121">
        <v>4</v>
      </c>
      <c r="H121">
        <v>0</v>
      </c>
      <c r="I121">
        <v>10</v>
      </c>
      <c r="J121">
        <v>8</v>
      </c>
      <c r="K121">
        <v>3</v>
      </c>
      <c r="L121">
        <v>0</v>
      </c>
    </row>
    <row r="122" spans="1:12" x14ac:dyDescent="0.35">
      <c r="A122" t="s">
        <v>147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35">
      <c r="A123" t="s">
        <v>308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35">
      <c r="A124" t="s">
        <v>143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x14ac:dyDescent="0.35">
      <c r="A125" t="s">
        <v>297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</row>
    <row r="126" spans="1:12" x14ac:dyDescent="0.35">
      <c r="A126" t="s">
        <v>294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35">
      <c r="A127" t="s">
        <v>296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35">
      <c r="A128" t="s">
        <v>298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35">
      <c r="A129" t="s">
        <v>295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35">
      <c r="A130" t="s">
        <v>144</v>
      </c>
      <c r="B130">
        <v>0</v>
      </c>
      <c r="C130">
        <v>0</v>
      </c>
      <c r="D130">
        <v>0</v>
      </c>
      <c r="E130">
        <v>6</v>
      </c>
      <c r="F130">
        <v>0</v>
      </c>
      <c r="G130">
        <v>0</v>
      </c>
      <c r="H130">
        <v>0</v>
      </c>
      <c r="I130">
        <v>0</v>
      </c>
      <c r="J130">
        <v>8</v>
      </c>
      <c r="K130">
        <v>0</v>
      </c>
      <c r="L130">
        <v>0</v>
      </c>
    </row>
    <row r="131" spans="1:12" x14ac:dyDescent="0.35">
      <c r="A131" t="s">
        <v>301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</row>
    <row r="132" spans="1:12" x14ac:dyDescent="0.35">
      <c r="A132" t="s">
        <v>300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35">
      <c r="A133" t="s">
        <v>302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35">
      <c r="A134" t="s">
        <v>299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35">
      <c r="A135" t="s">
        <v>146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x14ac:dyDescent="0.35">
      <c r="A136" t="s">
        <v>306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</row>
    <row r="137" spans="1:12" x14ac:dyDescent="0.35">
      <c r="A137" t="s">
        <v>307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35">
      <c r="A138" t="s">
        <v>148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x14ac:dyDescent="0.35">
      <c r="A139" t="s">
        <v>145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35">
      <c r="A140" t="s">
        <v>304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</row>
    <row r="141" spans="1:12" x14ac:dyDescent="0.35">
      <c r="A141" t="s">
        <v>303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35">
      <c r="A142" t="s">
        <v>305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</row>
    <row r="143" spans="1:12" x14ac:dyDescent="0.35">
      <c r="A143" t="s">
        <v>99</v>
      </c>
      <c r="B143">
        <v>216</v>
      </c>
      <c r="C143">
        <v>744</v>
      </c>
      <c r="D143">
        <v>684</v>
      </c>
      <c r="E143">
        <v>419</v>
      </c>
      <c r="F143">
        <v>91</v>
      </c>
      <c r="G143">
        <v>54</v>
      </c>
      <c r="H143">
        <v>202</v>
      </c>
      <c r="I143">
        <v>689</v>
      </c>
      <c r="J143">
        <v>738</v>
      </c>
      <c r="K143">
        <v>270</v>
      </c>
      <c r="L143">
        <v>16</v>
      </c>
    </row>
    <row r="144" spans="1:12" x14ac:dyDescent="0.35">
      <c r="A144" t="s">
        <v>117</v>
      </c>
      <c r="B144">
        <v>0</v>
      </c>
      <c r="C144">
        <v>3</v>
      </c>
      <c r="D144">
        <v>0</v>
      </c>
      <c r="E144">
        <v>5</v>
      </c>
      <c r="F144">
        <v>0</v>
      </c>
      <c r="G144">
        <v>0</v>
      </c>
      <c r="H144">
        <v>0</v>
      </c>
      <c r="I144">
        <v>3</v>
      </c>
      <c r="J144">
        <v>0</v>
      </c>
      <c r="K144">
        <v>0</v>
      </c>
      <c r="L144">
        <v>0</v>
      </c>
    </row>
    <row r="145" spans="1:12" x14ac:dyDescent="0.35">
      <c r="A145" t="s">
        <v>208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35">
      <c r="A146" t="s">
        <v>109</v>
      </c>
      <c r="B146">
        <v>58</v>
      </c>
      <c r="C146">
        <v>231</v>
      </c>
      <c r="D146">
        <v>165</v>
      </c>
      <c r="E146">
        <v>102</v>
      </c>
      <c r="F146">
        <v>10</v>
      </c>
      <c r="G146">
        <v>16</v>
      </c>
      <c r="H146">
        <v>30</v>
      </c>
      <c r="I146">
        <v>196</v>
      </c>
      <c r="J146">
        <v>237</v>
      </c>
      <c r="K146">
        <v>104</v>
      </c>
      <c r="L146">
        <v>0</v>
      </c>
    </row>
    <row r="147" spans="1:12" x14ac:dyDescent="0.35">
      <c r="A147" t="s">
        <v>171</v>
      </c>
      <c r="B147">
        <v>0</v>
      </c>
      <c r="C147">
        <v>0</v>
      </c>
      <c r="D147">
        <v>5</v>
      </c>
      <c r="E147">
        <v>0</v>
      </c>
      <c r="F147">
        <v>0</v>
      </c>
      <c r="G147">
        <v>0</v>
      </c>
      <c r="H147">
        <v>0</v>
      </c>
      <c r="I147">
        <v>3</v>
      </c>
      <c r="J147">
        <v>3</v>
      </c>
      <c r="K147">
        <v>0</v>
      </c>
      <c r="L147">
        <v>0</v>
      </c>
    </row>
    <row r="148" spans="1:12" x14ac:dyDescent="0.35">
      <c r="A148" t="s">
        <v>167</v>
      </c>
      <c r="B148">
        <v>8</v>
      </c>
      <c r="C148">
        <v>24</v>
      </c>
      <c r="D148">
        <v>14</v>
      </c>
      <c r="E148">
        <v>9</v>
      </c>
      <c r="F148">
        <v>0</v>
      </c>
      <c r="G148">
        <v>8</v>
      </c>
      <c r="H148">
        <v>0</v>
      </c>
      <c r="I148">
        <v>9</v>
      </c>
      <c r="J148">
        <v>20</v>
      </c>
      <c r="K148">
        <v>7</v>
      </c>
      <c r="L148">
        <v>0</v>
      </c>
    </row>
    <row r="149" spans="1:12" x14ac:dyDescent="0.35">
      <c r="A149" t="s">
        <v>168</v>
      </c>
      <c r="B149">
        <v>19</v>
      </c>
      <c r="C149">
        <v>57</v>
      </c>
      <c r="D149">
        <v>36</v>
      </c>
      <c r="E149">
        <v>23</v>
      </c>
      <c r="F149">
        <v>3</v>
      </c>
      <c r="G149">
        <v>9</v>
      </c>
      <c r="H149">
        <v>3</v>
      </c>
      <c r="I149">
        <v>31</v>
      </c>
      <c r="J149">
        <v>46</v>
      </c>
      <c r="K149">
        <v>27</v>
      </c>
      <c r="L149">
        <v>0</v>
      </c>
    </row>
    <row r="150" spans="1:12" x14ac:dyDescent="0.35">
      <c r="A150" t="s">
        <v>164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35">
      <c r="A151" t="s">
        <v>170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35">
      <c r="A152" t="s">
        <v>172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3</v>
      </c>
      <c r="J152">
        <v>0</v>
      </c>
      <c r="K152">
        <v>0</v>
      </c>
      <c r="L152">
        <v>0</v>
      </c>
    </row>
    <row r="153" spans="1:12" x14ac:dyDescent="0.35">
      <c r="A153" t="s">
        <v>166</v>
      </c>
      <c r="B153">
        <v>4</v>
      </c>
      <c r="C153">
        <v>6</v>
      </c>
      <c r="D153">
        <v>0</v>
      </c>
      <c r="E153">
        <v>3</v>
      </c>
      <c r="F153">
        <v>0</v>
      </c>
      <c r="G153">
        <v>0</v>
      </c>
      <c r="H153">
        <v>0</v>
      </c>
      <c r="I153">
        <v>7</v>
      </c>
      <c r="J153">
        <v>4</v>
      </c>
      <c r="K153">
        <v>5</v>
      </c>
      <c r="L153">
        <v>0</v>
      </c>
    </row>
    <row r="154" spans="1:12" x14ac:dyDescent="0.35">
      <c r="A154" t="s">
        <v>165</v>
      </c>
      <c r="B154">
        <v>0</v>
      </c>
      <c r="C154">
        <v>25</v>
      </c>
      <c r="D154">
        <v>33</v>
      </c>
      <c r="E154">
        <v>13</v>
      </c>
      <c r="F154">
        <v>0</v>
      </c>
      <c r="G154">
        <v>5</v>
      </c>
      <c r="H154">
        <v>0</v>
      </c>
      <c r="I154">
        <v>40</v>
      </c>
      <c r="J154">
        <v>67</v>
      </c>
      <c r="K154">
        <v>13</v>
      </c>
      <c r="L154">
        <v>0</v>
      </c>
    </row>
    <row r="155" spans="1:12" x14ac:dyDescent="0.35">
      <c r="A155" t="s">
        <v>169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35">
      <c r="A156" t="s">
        <v>113</v>
      </c>
      <c r="B156">
        <v>54</v>
      </c>
      <c r="C156">
        <v>176</v>
      </c>
      <c r="D156">
        <v>133</v>
      </c>
      <c r="E156">
        <v>100</v>
      </c>
      <c r="F156">
        <v>21</v>
      </c>
      <c r="G156">
        <v>42</v>
      </c>
      <c r="H156">
        <v>70</v>
      </c>
      <c r="I156">
        <v>157</v>
      </c>
      <c r="J156">
        <v>151</v>
      </c>
      <c r="K156">
        <v>102</v>
      </c>
      <c r="L156">
        <v>7</v>
      </c>
    </row>
    <row r="157" spans="1:12" x14ac:dyDescent="0.35">
      <c r="A157" t="s">
        <v>197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35">
      <c r="A158" t="s">
        <v>194</v>
      </c>
      <c r="B158">
        <v>0</v>
      </c>
      <c r="C158">
        <v>9</v>
      </c>
      <c r="D158">
        <v>9</v>
      </c>
      <c r="E158">
        <v>11</v>
      </c>
      <c r="F158">
        <v>0</v>
      </c>
      <c r="G158">
        <v>0</v>
      </c>
      <c r="H158">
        <v>0</v>
      </c>
      <c r="I158">
        <v>8</v>
      </c>
      <c r="J158">
        <v>6</v>
      </c>
      <c r="K158">
        <v>4</v>
      </c>
      <c r="L158">
        <v>0</v>
      </c>
    </row>
    <row r="159" spans="1:12" x14ac:dyDescent="0.35">
      <c r="A159" t="s">
        <v>196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35">
      <c r="A160" t="s">
        <v>198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35">
      <c r="A161" t="s">
        <v>195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35">
      <c r="A162" t="s">
        <v>114</v>
      </c>
      <c r="B162">
        <v>22</v>
      </c>
      <c r="C162">
        <v>83</v>
      </c>
      <c r="D162">
        <v>53</v>
      </c>
      <c r="E162">
        <v>35</v>
      </c>
      <c r="F162">
        <v>5</v>
      </c>
      <c r="G162">
        <v>7</v>
      </c>
      <c r="H162">
        <v>21</v>
      </c>
      <c r="I162">
        <v>48</v>
      </c>
      <c r="J162">
        <v>64</v>
      </c>
      <c r="K162">
        <v>41</v>
      </c>
      <c r="L162">
        <v>0</v>
      </c>
    </row>
    <row r="163" spans="1:12" x14ac:dyDescent="0.35">
      <c r="A163" t="s">
        <v>201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3</v>
      </c>
      <c r="K163">
        <v>0</v>
      </c>
      <c r="L163">
        <v>0</v>
      </c>
    </row>
    <row r="164" spans="1:12" x14ac:dyDescent="0.35">
      <c r="A164" t="s">
        <v>200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35">
      <c r="A165" t="s">
        <v>202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35">
      <c r="A166" t="s">
        <v>199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35">
      <c r="A167" t="s">
        <v>110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35">
      <c r="A168" t="s">
        <v>179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35">
      <c r="A169" t="s">
        <v>175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35">
      <c r="A170" t="s">
        <v>176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35">
      <c r="A171" t="s">
        <v>178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x14ac:dyDescent="0.35">
      <c r="A172" t="s">
        <v>180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35">
      <c r="A173" t="s">
        <v>174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35">
      <c r="A174" t="s">
        <v>173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35">
      <c r="A175" t="s">
        <v>177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35">
      <c r="A176" t="s">
        <v>116</v>
      </c>
      <c r="B176">
        <v>0</v>
      </c>
      <c r="C176">
        <v>0</v>
      </c>
      <c r="D176">
        <v>3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35">
      <c r="A177" t="s">
        <v>206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35">
      <c r="A178" t="s">
        <v>207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35">
      <c r="A179" t="s">
        <v>118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35">
      <c r="A180" t="s">
        <v>112</v>
      </c>
      <c r="B180">
        <v>0</v>
      </c>
      <c r="C180">
        <v>0</v>
      </c>
      <c r="D180">
        <v>0</v>
      </c>
      <c r="E180">
        <v>3</v>
      </c>
      <c r="F180">
        <v>0</v>
      </c>
      <c r="G180">
        <v>0</v>
      </c>
      <c r="H180">
        <v>0</v>
      </c>
      <c r="I180">
        <v>0</v>
      </c>
      <c r="J180">
        <v>4</v>
      </c>
      <c r="K180">
        <v>0</v>
      </c>
      <c r="L180">
        <v>0</v>
      </c>
    </row>
    <row r="181" spans="1:12" x14ac:dyDescent="0.35">
      <c r="A181" t="s">
        <v>192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35">
      <c r="A182" t="s">
        <v>188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x14ac:dyDescent="0.35">
      <c r="A183" t="s">
        <v>189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35">
      <c r="A184" t="s">
        <v>191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35">
      <c r="A185" t="s">
        <v>193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35">
      <c r="A186" t="s">
        <v>190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35">
      <c r="A187" t="s">
        <v>111</v>
      </c>
      <c r="B187">
        <v>3</v>
      </c>
      <c r="C187">
        <v>20</v>
      </c>
      <c r="D187">
        <v>28</v>
      </c>
      <c r="E187">
        <v>10</v>
      </c>
      <c r="F187">
        <v>0</v>
      </c>
      <c r="G187">
        <v>4</v>
      </c>
      <c r="H187">
        <v>11</v>
      </c>
      <c r="I187">
        <v>29</v>
      </c>
      <c r="J187">
        <v>37</v>
      </c>
      <c r="K187">
        <v>16</v>
      </c>
      <c r="L187">
        <v>0</v>
      </c>
    </row>
    <row r="188" spans="1:12" x14ac:dyDescent="0.35">
      <c r="A188" t="s">
        <v>186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35">
      <c r="A189" t="s">
        <v>182</v>
      </c>
      <c r="B189">
        <v>3</v>
      </c>
      <c r="C189">
        <v>19</v>
      </c>
      <c r="D189">
        <v>21</v>
      </c>
      <c r="E189">
        <v>14</v>
      </c>
      <c r="F189">
        <v>4</v>
      </c>
      <c r="G189">
        <v>0</v>
      </c>
      <c r="H189">
        <v>7</v>
      </c>
      <c r="I189">
        <v>23</v>
      </c>
      <c r="J189">
        <v>36</v>
      </c>
      <c r="K189">
        <v>13</v>
      </c>
      <c r="L189">
        <v>0</v>
      </c>
    </row>
    <row r="190" spans="1:12" x14ac:dyDescent="0.35">
      <c r="A190" t="s">
        <v>183</v>
      </c>
      <c r="B190">
        <v>0</v>
      </c>
      <c r="C190">
        <v>13</v>
      </c>
      <c r="D190">
        <v>10</v>
      </c>
      <c r="E190">
        <v>7</v>
      </c>
      <c r="F190">
        <v>3</v>
      </c>
      <c r="G190">
        <v>3</v>
      </c>
      <c r="H190">
        <v>6</v>
      </c>
      <c r="I190">
        <v>17</v>
      </c>
      <c r="J190">
        <v>22</v>
      </c>
      <c r="K190">
        <v>6</v>
      </c>
      <c r="L190">
        <v>0</v>
      </c>
    </row>
    <row r="191" spans="1:12" x14ac:dyDescent="0.35">
      <c r="A191" t="s">
        <v>185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35">
      <c r="A192" t="s">
        <v>187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35">
      <c r="A193" t="s">
        <v>181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35">
      <c r="A194" t="s">
        <v>184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35">
      <c r="A195" t="s">
        <v>115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35">
      <c r="A196" t="s">
        <v>204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35">
      <c r="A197" t="s">
        <v>203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35">
      <c r="A198" t="s">
        <v>205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35">
      <c r="A199" t="s">
        <v>102</v>
      </c>
      <c r="B199">
        <v>4</v>
      </c>
      <c r="C199">
        <v>17</v>
      </c>
      <c r="D199">
        <v>15</v>
      </c>
      <c r="E199">
        <v>7</v>
      </c>
      <c r="F199">
        <v>0</v>
      </c>
      <c r="G199">
        <v>3</v>
      </c>
      <c r="H199">
        <v>5</v>
      </c>
      <c r="I199">
        <v>58</v>
      </c>
      <c r="J199">
        <v>11</v>
      </c>
      <c r="K199">
        <v>4</v>
      </c>
      <c r="L199">
        <v>0</v>
      </c>
    </row>
    <row r="200" spans="1:12" x14ac:dyDescent="0.35">
      <c r="A200" t="s">
        <v>141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35">
      <c r="A201" t="s">
        <v>293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35">
      <c r="A202" t="s">
        <v>137</v>
      </c>
      <c r="B202">
        <v>0</v>
      </c>
      <c r="C202">
        <v>5</v>
      </c>
      <c r="D202">
        <v>5</v>
      </c>
      <c r="E202">
        <v>0</v>
      </c>
      <c r="F202">
        <v>0</v>
      </c>
      <c r="G202">
        <v>0</v>
      </c>
      <c r="H202">
        <v>0</v>
      </c>
      <c r="I202">
        <v>5</v>
      </c>
      <c r="J202">
        <v>7</v>
      </c>
      <c r="K202">
        <v>3</v>
      </c>
      <c r="L202">
        <v>0</v>
      </c>
    </row>
    <row r="203" spans="1:12" x14ac:dyDescent="0.35">
      <c r="A203" t="s">
        <v>282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35">
      <c r="A204" t="s">
        <v>279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35">
      <c r="A205" t="s">
        <v>281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35">
      <c r="A206" t="s">
        <v>283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35">
      <c r="A207" t="s">
        <v>280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35">
      <c r="A208" t="s">
        <v>138</v>
      </c>
      <c r="B208">
        <v>0</v>
      </c>
      <c r="C208">
        <v>4</v>
      </c>
      <c r="D208">
        <v>8</v>
      </c>
      <c r="E208">
        <v>0</v>
      </c>
      <c r="F208">
        <v>0</v>
      </c>
      <c r="G208">
        <v>0</v>
      </c>
      <c r="H208">
        <v>0</v>
      </c>
      <c r="I208">
        <v>3</v>
      </c>
      <c r="J208">
        <v>3</v>
      </c>
      <c r="K208">
        <v>4</v>
      </c>
      <c r="L208">
        <v>0</v>
      </c>
    </row>
    <row r="209" spans="1:12" x14ac:dyDescent="0.35">
      <c r="A209" t="s">
        <v>286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35">
      <c r="A210" t="s">
        <v>285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35">
      <c r="A211" t="s">
        <v>287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35">
      <c r="A212" t="s">
        <v>284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x14ac:dyDescent="0.35">
      <c r="A213" t="s">
        <v>140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35">
      <c r="A214" t="s">
        <v>291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35">
      <c r="A215" t="s">
        <v>292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35">
      <c r="A216" t="s">
        <v>142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35">
      <c r="A217" t="s">
        <v>136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35">
      <c r="A218" t="s">
        <v>277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35">
      <c r="A219" t="s">
        <v>273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35">
      <c r="A220" t="s">
        <v>274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35">
      <c r="A221" t="s">
        <v>276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35">
      <c r="A222" t="s">
        <v>278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35">
      <c r="A223" t="s">
        <v>275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</row>
    <row r="224" spans="1:12" x14ac:dyDescent="0.35">
      <c r="A224" t="s">
        <v>139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35">
      <c r="A225" t="s">
        <v>289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35">
      <c r="A226" t="s">
        <v>288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35">
      <c r="A227" t="s">
        <v>290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</row>
    <row r="228" spans="1:12" x14ac:dyDescent="0.35">
      <c r="A228" t="s">
        <v>106</v>
      </c>
      <c r="B228">
        <v>38</v>
      </c>
      <c r="C228">
        <v>77</v>
      </c>
      <c r="D228">
        <v>28</v>
      </c>
      <c r="E228">
        <v>23</v>
      </c>
      <c r="F228">
        <v>6</v>
      </c>
      <c r="G228">
        <v>26</v>
      </c>
      <c r="H228">
        <v>6</v>
      </c>
      <c r="I228">
        <v>42</v>
      </c>
      <c r="J228">
        <v>25</v>
      </c>
      <c r="K228">
        <v>41</v>
      </c>
      <c r="L228">
        <v>0</v>
      </c>
    </row>
    <row r="229" spans="1:12" x14ac:dyDescent="0.35">
      <c r="A229" t="s">
        <v>159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</row>
    <row r="230" spans="1:12" x14ac:dyDescent="0.35">
      <c r="A230" t="s">
        <v>327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</row>
    <row r="231" spans="1:12" x14ac:dyDescent="0.35">
      <c r="A231" t="s">
        <v>158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</row>
    <row r="232" spans="1:12" x14ac:dyDescent="0.35">
      <c r="A232" t="s">
        <v>325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</row>
    <row r="233" spans="1:12" x14ac:dyDescent="0.35">
      <c r="A233" t="s">
        <v>326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</row>
    <row r="234" spans="1:12" x14ac:dyDescent="0.35">
      <c r="A234" t="s">
        <v>160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</row>
    <row r="235" spans="1:12" x14ac:dyDescent="0.35">
      <c r="A235" t="s">
        <v>329</v>
      </c>
      <c r="B235">
        <v>135</v>
      </c>
      <c r="C235">
        <v>323</v>
      </c>
      <c r="D235">
        <v>165</v>
      </c>
      <c r="E235">
        <v>142</v>
      </c>
      <c r="F235">
        <v>211</v>
      </c>
      <c r="G235">
        <v>736</v>
      </c>
      <c r="H235">
        <v>120</v>
      </c>
      <c r="I235">
        <v>178</v>
      </c>
      <c r="J235">
        <v>277</v>
      </c>
      <c r="K235">
        <v>271</v>
      </c>
      <c r="L235">
        <v>0</v>
      </c>
    </row>
    <row r="236" spans="1:12" x14ac:dyDescent="0.35">
      <c r="A236" t="s">
        <v>330</v>
      </c>
      <c r="B236">
        <v>49</v>
      </c>
      <c r="C236">
        <v>171</v>
      </c>
      <c r="D236">
        <v>90</v>
      </c>
      <c r="E236">
        <v>48</v>
      </c>
      <c r="F236">
        <v>21</v>
      </c>
      <c r="G236">
        <v>107</v>
      </c>
      <c r="H236">
        <v>55</v>
      </c>
      <c r="I236">
        <v>63</v>
      </c>
      <c r="J236">
        <v>119</v>
      </c>
      <c r="K236">
        <v>77</v>
      </c>
      <c r="L236">
        <v>0</v>
      </c>
    </row>
    <row r="237" spans="1:12" x14ac:dyDescent="0.35">
      <c r="A237" t="s">
        <v>331</v>
      </c>
      <c r="B237">
        <v>983</v>
      </c>
      <c r="C237" s="3">
        <v>2812</v>
      </c>
      <c r="D237" s="3">
        <v>1664</v>
      </c>
      <c r="E237" s="3">
        <v>1135</v>
      </c>
      <c r="F237">
        <v>406</v>
      </c>
      <c r="G237" s="3">
        <v>1528</v>
      </c>
      <c r="H237">
        <v>870</v>
      </c>
      <c r="I237" s="3">
        <v>1744</v>
      </c>
      <c r="J237" s="3">
        <v>1703</v>
      </c>
      <c r="K237" s="3">
        <v>1643</v>
      </c>
      <c r="L237">
        <v>38</v>
      </c>
    </row>
    <row r="238" spans="1:12" x14ac:dyDescent="0.35">
      <c r="A238" t="s">
        <v>28</v>
      </c>
      <c r="B238">
        <v>103</v>
      </c>
      <c r="C238">
        <v>240</v>
      </c>
      <c r="D238">
        <v>240</v>
      </c>
      <c r="E238">
        <v>128</v>
      </c>
      <c r="F238">
        <v>59</v>
      </c>
      <c r="G238">
        <v>130</v>
      </c>
      <c r="H238">
        <v>54</v>
      </c>
      <c r="I238">
        <v>207</v>
      </c>
      <c r="J238">
        <v>174</v>
      </c>
      <c r="K238">
        <v>143</v>
      </c>
      <c r="L238">
        <v>6</v>
      </c>
    </row>
    <row r="239" spans="1:12" x14ac:dyDescent="0.35">
      <c r="A239" t="s">
        <v>29</v>
      </c>
      <c r="B239" s="3">
        <v>5332</v>
      </c>
      <c r="C239" s="3">
        <v>20837</v>
      </c>
      <c r="D239" s="3">
        <v>15697</v>
      </c>
      <c r="E239" s="3">
        <v>8935</v>
      </c>
      <c r="F239" s="3">
        <v>2638</v>
      </c>
      <c r="G239" s="3">
        <v>6620</v>
      </c>
      <c r="H239" s="3">
        <v>3528</v>
      </c>
      <c r="I239" s="3">
        <v>12757</v>
      </c>
      <c r="J239" s="3">
        <v>13837</v>
      </c>
      <c r="K239" s="3">
        <v>7745</v>
      </c>
      <c r="L239">
        <v>236</v>
      </c>
    </row>
    <row r="240" spans="1:12" x14ac:dyDescent="0.35">
      <c r="A240" t="s">
        <v>5</v>
      </c>
      <c r="B240" s="3">
        <v>12174</v>
      </c>
      <c r="C240" s="3">
        <v>41624</v>
      </c>
      <c r="D240" s="3">
        <v>28585</v>
      </c>
      <c r="E240" s="3">
        <v>17503</v>
      </c>
      <c r="F240" s="3">
        <v>5370</v>
      </c>
      <c r="G240" s="3">
        <v>16354</v>
      </c>
      <c r="H240" s="3">
        <v>8557</v>
      </c>
      <c r="I240" s="3">
        <v>25135</v>
      </c>
      <c r="J240" s="3">
        <v>26111</v>
      </c>
      <c r="K240" s="3">
        <v>18678</v>
      </c>
      <c r="L240">
        <v>574</v>
      </c>
    </row>
    <row r="241" spans="1:12" x14ac:dyDescent="0.35">
      <c r="B241" s="3">
        <f>SUM(B4:B236)</f>
        <v>5730</v>
      </c>
      <c r="C241" s="3">
        <f t="shared" ref="C241:L241" si="0">SUM(C4:C236)</f>
        <v>17723</v>
      </c>
      <c r="D241" s="3">
        <f t="shared" si="0"/>
        <v>10969</v>
      </c>
      <c r="E241" s="3">
        <f t="shared" si="0"/>
        <v>7294</v>
      </c>
      <c r="F241" s="3">
        <f t="shared" si="0"/>
        <v>2232</v>
      </c>
      <c r="G241" s="3">
        <f t="shared" si="0"/>
        <v>8046</v>
      </c>
      <c r="H241" s="3">
        <f t="shared" si="0"/>
        <v>4106</v>
      </c>
      <c r="I241" s="3">
        <f t="shared" si="0"/>
        <v>10416</v>
      </c>
      <c r="J241" s="3">
        <f t="shared" si="0"/>
        <v>10388</v>
      </c>
      <c r="K241" s="3">
        <f t="shared" si="0"/>
        <v>9148</v>
      </c>
      <c r="L241" s="3">
        <f t="shared" si="0"/>
        <v>286</v>
      </c>
    </row>
    <row r="242" spans="1:12" x14ac:dyDescent="0.35">
      <c r="B242" t="s">
        <v>7</v>
      </c>
      <c r="C242" t="s">
        <v>8</v>
      </c>
      <c r="D242" t="s">
        <v>9</v>
      </c>
      <c r="E242" t="s">
        <v>10</v>
      </c>
      <c r="F242" t="s">
        <v>11</v>
      </c>
      <c r="G242" t="s">
        <v>12</v>
      </c>
      <c r="H242" t="s">
        <v>13</v>
      </c>
      <c r="I242" t="s">
        <v>14</v>
      </c>
      <c r="J242" t="s">
        <v>15</v>
      </c>
      <c r="K242" t="s">
        <v>16</v>
      </c>
    </row>
    <row r="243" spans="1:12" x14ac:dyDescent="0.35">
      <c r="A243" t="s">
        <v>99</v>
      </c>
      <c r="B243">
        <f>SUM(B143:B198)</f>
        <v>387</v>
      </c>
      <c r="C243">
        <f t="shared" ref="C243:K243" si="1">SUM(C143:C198)</f>
        <v>1410</v>
      </c>
      <c r="D243">
        <f t="shared" si="1"/>
        <v>1194</v>
      </c>
      <c r="E243">
        <f t="shared" si="1"/>
        <v>754</v>
      </c>
      <c r="F243">
        <f t="shared" si="1"/>
        <v>137</v>
      </c>
      <c r="G243">
        <f t="shared" si="1"/>
        <v>148</v>
      </c>
      <c r="H243">
        <f t="shared" si="1"/>
        <v>350</v>
      </c>
      <c r="I243">
        <f t="shared" si="1"/>
        <v>1263</v>
      </c>
      <c r="J243">
        <f t="shared" si="1"/>
        <v>1438</v>
      </c>
      <c r="K243">
        <f t="shared" si="1"/>
        <v>608</v>
      </c>
      <c r="L243">
        <f t="shared" ref="L243" si="2">SUM(L143:L198)</f>
        <v>23</v>
      </c>
    </row>
    <row r="244" spans="1:12" x14ac:dyDescent="0.35">
      <c r="A244" t="s">
        <v>100</v>
      </c>
      <c r="B244">
        <f>SUM(B6:B51)</f>
        <v>74</v>
      </c>
      <c r="C244">
        <f t="shared" ref="C244:K244" si="3">SUM(C6:C51)</f>
        <v>512</v>
      </c>
      <c r="D244">
        <f t="shared" si="3"/>
        <v>314</v>
      </c>
      <c r="E244">
        <f t="shared" si="3"/>
        <v>213</v>
      </c>
      <c r="F244">
        <f t="shared" si="3"/>
        <v>18</v>
      </c>
      <c r="G244">
        <f t="shared" si="3"/>
        <v>232</v>
      </c>
      <c r="H244">
        <f t="shared" si="3"/>
        <v>110</v>
      </c>
      <c r="I244">
        <f t="shared" si="3"/>
        <v>351</v>
      </c>
      <c r="J244">
        <f t="shared" si="3"/>
        <v>306</v>
      </c>
      <c r="K244">
        <f t="shared" si="3"/>
        <v>268</v>
      </c>
      <c r="L244">
        <f t="shared" ref="L244" si="4">SUM(L6:L51)</f>
        <v>8</v>
      </c>
    </row>
    <row r="245" spans="1:12" x14ac:dyDescent="0.35">
      <c r="A245" t="s">
        <v>101</v>
      </c>
      <c r="B245">
        <f>SUM(B79:B115)</f>
        <v>0</v>
      </c>
      <c r="C245">
        <f t="shared" ref="C245:K245" si="5">SUM(C79:C115)</f>
        <v>12</v>
      </c>
      <c r="D245">
        <f t="shared" si="5"/>
        <v>7</v>
      </c>
      <c r="E245">
        <f t="shared" si="5"/>
        <v>4</v>
      </c>
      <c r="F245">
        <f t="shared" si="5"/>
        <v>0</v>
      </c>
      <c r="G245">
        <f t="shared" si="5"/>
        <v>6</v>
      </c>
      <c r="H245">
        <f t="shared" si="5"/>
        <v>0</v>
      </c>
      <c r="I245">
        <f t="shared" si="5"/>
        <v>3</v>
      </c>
      <c r="J245">
        <f t="shared" si="5"/>
        <v>3</v>
      </c>
      <c r="K245">
        <f t="shared" si="5"/>
        <v>3</v>
      </c>
      <c r="L245">
        <f t="shared" ref="L245" si="6">SUM(L79:L115)</f>
        <v>0</v>
      </c>
    </row>
    <row r="246" spans="1:12" x14ac:dyDescent="0.35">
      <c r="A246" t="s">
        <v>102</v>
      </c>
      <c r="B246">
        <f>SUM(B199:B227)</f>
        <v>4</v>
      </c>
      <c r="C246">
        <f t="shared" ref="C246:K246" si="7">SUM(C199:C227)</f>
        <v>26</v>
      </c>
      <c r="D246">
        <f t="shared" si="7"/>
        <v>28</v>
      </c>
      <c r="E246">
        <f t="shared" si="7"/>
        <v>7</v>
      </c>
      <c r="F246">
        <f t="shared" si="7"/>
        <v>0</v>
      </c>
      <c r="G246">
        <f t="shared" si="7"/>
        <v>3</v>
      </c>
      <c r="H246">
        <f t="shared" si="7"/>
        <v>5</v>
      </c>
      <c r="I246">
        <f t="shared" si="7"/>
        <v>66</v>
      </c>
      <c r="J246">
        <f t="shared" si="7"/>
        <v>21</v>
      </c>
      <c r="K246">
        <f t="shared" si="7"/>
        <v>11</v>
      </c>
      <c r="L246">
        <f t="shared" ref="L246" si="8">SUM(L199:L227)</f>
        <v>0</v>
      </c>
    </row>
    <row r="247" spans="1:12" x14ac:dyDescent="0.35">
      <c r="A247" t="s">
        <v>103</v>
      </c>
      <c r="B247">
        <f>SUM(B121:B142)</f>
        <v>5</v>
      </c>
      <c r="C247">
        <f t="shared" ref="C247:K247" si="9">SUM(C121:C142)</f>
        <v>18</v>
      </c>
      <c r="D247">
        <f t="shared" si="9"/>
        <v>13</v>
      </c>
      <c r="E247">
        <f t="shared" si="9"/>
        <v>16</v>
      </c>
      <c r="F247">
        <f t="shared" si="9"/>
        <v>0</v>
      </c>
      <c r="G247">
        <f t="shared" si="9"/>
        <v>4</v>
      </c>
      <c r="H247">
        <f t="shared" si="9"/>
        <v>0</v>
      </c>
      <c r="I247">
        <f t="shared" si="9"/>
        <v>10</v>
      </c>
      <c r="J247">
        <f t="shared" si="9"/>
        <v>16</v>
      </c>
      <c r="K247">
        <f t="shared" si="9"/>
        <v>3</v>
      </c>
      <c r="L247">
        <f t="shared" ref="L247" si="10">SUM(L121:L142)</f>
        <v>0</v>
      </c>
    </row>
    <row r="248" spans="1:12" x14ac:dyDescent="0.35">
      <c r="A248" t="s">
        <v>104</v>
      </c>
      <c r="B248" s="3">
        <f>SUM(B52:B66,B77)</f>
        <v>3974</v>
      </c>
      <c r="C248" s="3">
        <f t="shared" ref="C248:K248" si="11">SUM(C52:C66,C77)</f>
        <v>11730</v>
      </c>
      <c r="D248" s="3">
        <f t="shared" si="11"/>
        <v>7077</v>
      </c>
      <c r="E248" s="3">
        <f t="shared" si="11"/>
        <v>4539</v>
      </c>
      <c r="F248" s="3">
        <f t="shared" si="11"/>
        <v>1435</v>
      </c>
      <c r="G248" s="3">
        <f t="shared" si="11"/>
        <v>5099</v>
      </c>
      <c r="H248" s="3">
        <f t="shared" si="11"/>
        <v>2754</v>
      </c>
      <c r="I248" s="3">
        <f t="shared" si="11"/>
        <v>6767</v>
      </c>
      <c r="J248" s="3">
        <f t="shared" si="11"/>
        <v>6076</v>
      </c>
      <c r="K248" s="3">
        <f t="shared" si="11"/>
        <v>6318</v>
      </c>
      <c r="L248" s="3">
        <f t="shared" ref="L248" si="12">SUM(L52:L66,L77)</f>
        <v>208</v>
      </c>
    </row>
    <row r="249" spans="1:12" x14ac:dyDescent="0.35">
      <c r="A249" t="s">
        <v>105</v>
      </c>
      <c r="B249" s="3">
        <f>SUM(B67:B76,B78)</f>
        <v>1018</v>
      </c>
      <c r="C249" s="3">
        <f t="shared" ref="C249:K249" si="13">SUM(C67:C76,C78)</f>
        <v>3305</v>
      </c>
      <c r="D249" s="3">
        <f t="shared" si="13"/>
        <v>1980</v>
      </c>
      <c r="E249" s="3">
        <f t="shared" si="13"/>
        <v>1496</v>
      </c>
      <c r="F249" s="3">
        <f t="shared" si="13"/>
        <v>380</v>
      </c>
      <c r="G249" s="3">
        <f t="shared" si="13"/>
        <v>1564</v>
      </c>
      <c r="H249" s="3">
        <f t="shared" si="13"/>
        <v>657</v>
      </c>
      <c r="I249" s="3">
        <f t="shared" si="13"/>
        <v>1613</v>
      </c>
      <c r="J249" s="3">
        <f t="shared" si="13"/>
        <v>1994</v>
      </c>
      <c r="K249" s="3">
        <f t="shared" si="13"/>
        <v>1504</v>
      </c>
      <c r="L249" s="3">
        <f t="shared" ref="L249" si="14">SUM(L67:L76,L78)</f>
        <v>47</v>
      </c>
    </row>
    <row r="250" spans="1:12" x14ac:dyDescent="0.35">
      <c r="A250" t="s">
        <v>106</v>
      </c>
      <c r="B250">
        <f>SUM(B228:B234)</f>
        <v>38</v>
      </c>
      <c r="C250">
        <f t="shared" ref="C250:K250" si="15">SUM(C228:C234)</f>
        <v>77</v>
      </c>
      <c r="D250">
        <f t="shared" si="15"/>
        <v>28</v>
      </c>
      <c r="E250">
        <f t="shared" si="15"/>
        <v>23</v>
      </c>
      <c r="F250">
        <f t="shared" si="15"/>
        <v>6</v>
      </c>
      <c r="G250">
        <f t="shared" si="15"/>
        <v>26</v>
      </c>
      <c r="H250">
        <f t="shared" si="15"/>
        <v>6</v>
      </c>
      <c r="I250">
        <f t="shared" si="15"/>
        <v>42</v>
      </c>
      <c r="J250">
        <f t="shared" si="15"/>
        <v>25</v>
      </c>
      <c r="K250">
        <f t="shared" si="15"/>
        <v>41</v>
      </c>
      <c r="L250">
        <f t="shared" ref="L250" si="16">SUM(L228:L234)</f>
        <v>0</v>
      </c>
    </row>
    <row r="251" spans="1:12" x14ac:dyDescent="0.35">
      <c r="A251" t="s">
        <v>107</v>
      </c>
      <c r="B251">
        <f>SUM(B116:B119)</f>
        <v>23</v>
      </c>
      <c r="C251">
        <f t="shared" ref="C251:K251" si="17">SUM(C116:C119)</f>
        <v>46</v>
      </c>
      <c r="D251">
        <f t="shared" si="17"/>
        <v>20</v>
      </c>
      <c r="E251">
        <f t="shared" si="17"/>
        <v>17</v>
      </c>
      <c r="F251">
        <f t="shared" si="17"/>
        <v>3</v>
      </c>
      <c r="G251">
        <f t="shared" si="17"/>
        <v>11</v>
      </c>
      <c r="H251">
        <f t="shared" si="17"/>
        <v>13</v>
      </c>
      <c r="I251">
        <f t="shared" si="17"/>
        <v>23</v>
      </c>
      <c r="J251">
        <f t="shared" si="17"/>
        <v>31</v>
      </c>
      <c r="K251">
        <f t="shared" si="17"/>
        <v>24</v>
      </c>
      <c r="L251">
        <f t="shared" ref="L251" si="18">SUM(L116:L119)</f>
        <v>0</v>
      </c>
    </row>
    <row r="252" spans="1:12" x14ac:dyDescent="0.35">
      <c r="A252" t="s">
        <v>108</v>
      </c>
      <c r="B252">
        <f>(SUM(B4:B5))</f>
        <v>17</v>
      </c>
      <c r="C252">
        <f t="shared" ref="C252:K252" si="19">(SUM(C4:C5))</f>
        <v>40</v>
      </c>
      <c r="D252">
        <f t="shared" si="19"/>
        <v>16</v>
      </c>
      <c r="E252">
        <f t="shared" si="19"/>
        <v>13</v>
      </c>
      <c r="F252">
        <f t="shared" si="19"/>
        <v>7</v>
      </c>
      <c r="G252">
        <f t="shared" si="19"/>
        <v>38</v>
      </c>
      <c r="H252">
        <f t="shared" si="19"/>
        <v>18</v>
      </c>
      <c r="I252">
        <f t="shared" si="19"/>
        <v>18</v>
      </c>
      <c r="J252">
        <f t="shared" si="19"/>
        <v>51</v>
      </c>
      <c r="K252">
        <f t="shared" si="19"/>
        <v>12</v>
      </c>
      <c r="L252">
        <f t="shared" ref="L252" si="20">(SUM(L4:L5))</f>
        <v>0</v>
      </c>
    </row>
    <row r="253" spans="1:12" x14ac:dyDescent="0.35">
      <c r="A253" t="s">
        <v>329</v>
      </c>
      <c r="B253">
        <f>B235</f>
        <v>135</v>
      </c>
      <c r="C253">
        <f t="shared" ref="C253:K253" si="21">C235</f>
        <v>323</v>
      </c>
      <c r="D253">
        <f t="shared" si="21"/>
        <v>165</v>
      </c>
      <c r="E253">
        <f t="shared" si="21"/>
        <v>142</v>
      </c>
      <c r="F253">
        <f t="shared" si="21"/>
        <v>211</v>
      </c>
      <c r="G253">
        <f t="shared" si="21"/>
        <v>736</v>
      </c>
      <c r="H253">
        <f t="shared" si="21"/>
        <v>120</v>
      </c>
      <c r="I253">
        <f t="shared" si="21"/>
        <v>178</v>
      </c>
      <c r="J253">
        <f t="shared" si="21"/>
        <v>277</v>
      </c>
      <c r="K253">
        <f t="shared" si="21"/>
        <v>271</v>
      </c>
      <c r="L253">
        <f t="shared" ref="L253" si="22">L235</f>
        <v>0</v>
      </c>
    </row>
    <row r="254" spans="1:12" x14ac:dyDescent="0.35">
      <c r="A254" t="s">
        <v>330</v>
      </c>
      <c r="B254">
        <f>B236</f>
        <v>49</v>
      </c>
      <c r="C254">
        <f t="shared" ref="C254:K254" si="23">C236</f>
        <v>171</v>
      </c>
      <c r="D254">
        <f t="shared" si="23"/>
        <v>90</v>
      </c>
      <c r="E254">
        <f t="shared" si="23"/>
        <v>48</v>
      </c>
      <c r="F254">
        <f t="shared" si="23"/>
        <v>21</v>
      </c>
      <c r="G254">
        <f t="shared" si="23"/>
        <v>107</v>
      </c>
      <c r="H254">
        <f t="shared" si="23"/>
        <v>55</v>
      </c>
      <c r="I254">
        <f t="shared" si="23"/>
        <v>63</v>
      </c>
      <c r="J254">
        <f t="shared" si="23"/>
        <v>119</v>
      </c>
      <c r="K254">
        <f t="shared" si="23"/>
        <v>77</v>
      </c>
      <c r="L254">
        <f t="shared" ref="L254" si="24">L236</f>
        <v>0</v>
      </c>
    </row>
    <row r="255" spans="1:12" x14ac:dyDescent="0.35">
      <c r="A255" t="s">
        <v>46</v>
      </c>
      <c r="B255">
        <f>SUM(B120)</f>
        <v>6</v>
      </c>
      <c r="C255">
        <f t="shared" ref="C255:K255" si="25">SUM(C120)</f>
        <v>53</v>
      </c>
      <c r="D255">
        <f t="shared" si="25"/>
        <v>37</v>
      </c>
      <c r="E255">
        <f t="shared" si="25"/>
        <v>22</v>
      </c>
      <c r="F255">
        <f t="shared" si="25"/>
        <v>14</v>
      </c>
      <c r="G255">
        <f t="shared" si="25"/>
        <v>72</v>
      </c>
      <c r="H255">
        <f t="shared" si="25"/>
        <v>18</v>
      </c>
      <c r="I255">
        <f t="shared" si="25"/>
        <v>19</v>
      </c>
      <c r="J255">
        <f t="shared" si="25"/>
        <v>31</v>
      </c>
      <c r="K255">
        <f t="shared" si="25"/>
        <v>8</v>
      </c>
      <c r="L255">
        <f t="shared" ref="L255" si="26">SUM(L120)</f>
        <v>0</v>
      </c>
    </row>
    <row r="256" spans="1:12" x14ac:dyDescent="0.35">
      <c r="B256">
        <f>SUM(B243:B255)</f>
        <v>5730</v>
      </c>
      <c r="C256">
        <f t="shared" ref="C256:K256" si="27">SUM(C243:C255)</f>
        <v>17723</v>
      </c>
      <c r="D256">
        <f t="shared" si="27"/>
        <v>10969</v>
      </c>
      <c r="E256">
        <f t="shared" si="27"/>
        <v>7294</v>
      </c>
      <c r="F256">
        <f t="shared" si="27"/>
        <v>2232</v>
      </c>
      <c r="G256">
        <f t="shared" si="27"/>
        <v>8046</v>
      </c>
      <c r="H256">
        <f t="shared" si="27"/>
        <v>4106</v>
      </c>
      <c r="I256">
        <f t="shared" si="27"/>
        <v>10416</v>
      </c>
      <c r="J256">
        <f t="shared" si="27"/>
        <v>10388</v>
      </c>
      <c r="K256">
        <f t="shared" si="27"/>
        <v>9148</v>
      </c>
      <c r="L256">
        <f t="shared" ref="L256" si="28">SUM(L243:L255)</f>
        <v>286</v>
      </c>
    </row>
    <row r="258" spans="1:17" x14ac:dyDescent="0.35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7" x14ac:dyDescent="0.35">
      <c r="B259" t="s">
        <v>99</v>
      </c>
      <c r="C259" t="s">
        <v>100</v>
      </c>
      <c r="D259" t="s">
        <v>101</v>
      </c>
      <c r="E259" t="s">
        <v>102</v>
      </c>
      <c r="F259" t="s">
        <v>103</v>
      </c>
      <c r="G259" t="s">
        <v>104</v>
      </c>
      <c r="H259" t="s">
        <v>105</v>
      </c>
      <c r="I259" t="s">
        <v>106</v>
      </c>
      <c r="J259" t="s">
        <v>107</v>
      </c>
      <c r="K259" t="s">
        <v>108</v>
      </c>
      <c r="L259" t="s">
        <v>330</v>
      </c>
      <c r="P259" t="s">
        <v>616</v>
      </c>
      <c r="Q259" t="s">
        <v>639</v>
      </c>
    </row>
    <row r="260" spans="1:17" x14ac:dyDescent="0.35">
      <c r="A260" t="s">
        <v>7</v>
      </c>
      <c r="B260">
        <v>387</v>
      </c>
      <c r="C260">
        <v>74</v>
      </c>
      <c r="D260">
        <v>0</v>
      </c>
      <c r="E260">
        <v>4</v>
      </c>
      <c r="F260">
        <v>5</v>
      </c>
      <c r="G260">
        <v>3974</v>
      </c>
      <c r="H260">
        <v>1018</v>
      </c>
      <c r="I260">
        <v>38</v>
      </c>
      <c r="J260">
        <v>23</v>
      </c>
      <c r="K260">
        <v>17</v>
      </c>
      <c r="L260">
        <v>49</v>
      </c>
      <c r="N260">
        <v>5730</v>
      </c>
      <c r="O260" s="10"/>
      <c r="P260" s="10">
        <f t="shared" ref="P260:P269" si="29">(G260+H260)/N260</f>
        <v>0.87120418848167536</v>
      </c>
      <c r="Q260" s="10">
        <f>(SUM(B260:E260))/N260</f>
        <v>8.1151832460732987E-2</v>
      </c>
    </row>
    <row r="261" spans="1:17" x14ac:dyDescent="0.35">
      <c r="A261" t="s">
        <v>8</v>
      </c>
      <c r="B261">
        <v>1410</v>
      </c>
      <c r="C261">
        <v>512</v>
      </c>
      <c r="D261">
        <v>12</v>
      </c>
      <c r="E261">
        <v>26</v>
      </c>
      <c r="F261">
        <v>18</v>
      </c>
      <c r="G261">
        <v>11730</v>
      </c>
      <c r="H261">
        <v>3305</v>
      </c>
      <c r="I261">
        <v>77</v>
      </c>
      <c r="J261">
        <v>46</v>
      </c>
      <c r="K261">
        <v>40</v>
      </c>
      <c r="L261">
        <v>171</v>
      </c>
      <c r="N261">
        <v>17723</v>
      </c>
      <c r="O261" s="10"/>
      <c r="P261" s="10">
        <f t="shared" si="29"/>
        <v>0.84833267505501331</v>
      </c>
      <c r="Q261" s="10">
        <f t="shared" ref="Q261:Q269" si="30">(SUM(B261:E261))/N261</f>
        <v>0.11059075777238617</v>
      </c>
    </row>
    <row r="262" spans="1:17" x14ac:dyDescent="0.35">
      <c r="A262" t="s">
        <v>9</v>
      </c>
      <c r="B262">
        <v>1194</v>
      </c>
      <c r="C262">
        <v>314</v>
      </c>
      <c r="D262">
        <v>7</v>
      </c>
      <c r="E262">
        <v>28</v>
      </c>
      <c r="F262">
        <v>13</v>
      </c>
      <c r="G262">
        <v>7077</v>
      </c>
      <c r="H262">
        <v>1980</v>
      </c>
      <c r="I262">
        <v>28</v>
      </c>
      <c r="J262">
        <v>20</v>
      </c>
      <c r="K262">
        <v>16</v>
      </c>
      <c r="L262">
        <v>90</v>
      </c>
      <c r="N262">
        <v>10969</v>
      </c>
      <c r="O262" s="10"/>
      <c r="P262" s="10">
        <f t="shared" si="29"/>
        <v>0.82569058255082506</v>
      </c>
      <c r="Q262" s="10">
        <f t="shared" si="30"/>
        <v>0.14066915853769715</v>
      </c>
    </row>
    <row r="263" spans="1:17" x14ac:dyDescent="0.35">
      <c r="A263" t="s">
        <v>10</v>
      </c>
      <c r="B263">
        <v>754</v>
      </c>
      <c r="C263">
        <v>213</v>
      </c>
      <c r="D263">
        <v>4</v>
      </c>
      <c r="E263">
        <v>7</v>
      </c>
      <c r="F263">
        <v>16</v>
      </c>
      <c r="G263">
        <v>4539</v>
      </c>
      <c r="H263">
        <v>1496</v>
      </c>
      <c r="I263">
        <v>23</v>
      </c>
      <c r="J263">
        <v>17</v>
      </c>
      <c r="K263">
        <v>13</v>
      </c>
      <c r="L263">
        <v>48</v>
      </c>
      <c r="N263">
        <v>7294</v>
      </c>
      <c r="O263" s="10"/>
      <c r="P263" s="10">
        <f t="shared" si="29"/>
        <v>0.82739237729640802</v>
      </c>
      <c r="Q263" s="10">
        <f t="shared" si="30"/>
        <v>0.13408280778722237</v>
      </c>
    </row>
    <row r="264" spans="1:17" x14ac:dyDescent="0.35">
      <c r="A264" t="s">
        <v>11</v>
      </c>
      <c r="B264">
        <v>137</v>
      </c>
      <c r="C264">
        <v>18</v>
      </c>
      <c r="D264">
        <v>0</v>
      </c>
      <c r="E264">
        <v>0</v>
      </c>
      <c r="F264">
        <v>0</v>
      </c>
      <c r="G264">
        <v>1435</v>
      </c>
      <c r="H264">
        <v>380</v>
      </c>
      <c r="I264">
        <v>6</v>
      </c>
      <c r="J264">
        <v>3</v>
      </c>
      <c r="K264">
        <v>7</v>
      </c>
      <c r="L264">
        <v>21</v>
      </c>
      <c r="N264">
        <v>2232</v>
      </c>
      <c r="O264" s="10"/>
      <c r="P264" s="10">
        <f t="shared" si="29"/>
        <v>0.81317204301075274</v>
      </c>
      <c r="Q264" s="10">
        <f t="shared" si="30"/>
        <v>6.9444444444444448E-2</v>
      </c>
    </row>
    <row r="265" spans="1:17" x14ac:dyDescent="0.35">
      <c r="A265" t="s">
        <v>12</v>
      </c>
      <c r="B265">
        <v>148</v>
      </c>
      <c r="C265">
        <v>232</v>
      </c>
      <c r="D265">
        <v>6</v>
      </c>
      <c r="E265">
        <v>3</v>
      </c>
      <c r="F265">
        <v>4</v>
      </c>
      <c r="G265">
        <v>5099</v>
      </c>
      <c r="H265">
        <v>1564</v>
      </c>
      <c r="I265">
        <v>26</v>
      </c>
      <c r="J265">
        <v>11</v>
      </c>
      <c r="K265">
        <v>38</v>
      </c>
      <c r="L265">
        <v>107</v>
      </c>
      <c r="N265">
        <v>8046</v>
      </c>
      <c r="O265" s="10"/>
      <c r="P265" s="10">
        <f t="shared" si="29"/>
        <v>0.82811334824757643</v>
      </c>
      <c r="Q265" s="10">
        <f t="shared" si="30"/>
        <v>4.8347004722843652E-2</v>
      </c>
    </row>
    <row r="266" spans="1:17" x14ac:dyDescent="0.35">
      <c r="A266" t="s">
        <v>13</v>
      </c>
      <c r="B266">
        <v>350</v>
      </c>
      <c r="C266">
        <v>110</v>
      </c>
      <c r="D266">
        <v>0</v>
      </c>
      <c r="E266">
        <v>5</v>
      </c>
      <c r="F266">
        <v>0</v>
      </c>
      <c r="G266">
        <v>2754</v>
      </c>
      <c r="H266">
        <v>657</v>
      </c>
      <c r="I266">
        <v>6</v>
      </c>
      <c r="J266">
        <v>13</v>
      </c>
      <c r="K266">
        <v>18</v>
      </c>
      <c r="L266">
        <v>55</v>
      </c>
      <c r="N266">
        <v>4106</v>
      </c>
      <c r="O266" s="10"/>
      <c r="P266" s="10">
        <f t="shared" si="29"/>
        <v>0.83073550901120308</v>
      </c>
      <c r="Q266" s="10">
        <f t="shared" si="30"/>
        <v>0.1132489040428641</v>
      </c>
    </row>
    <row r="267" spans="1:17" x14ac:dyDescent="0.35">
      <c r="A267" t="s">
        <v>14</v>
      </c>
      <c r="B267">
        <v>1263</v>
      </c>
      <c r="C267">
        <v>351</v>
      </c>
      <c r="D267">
        <v>3</v>
      </c>
      <c r="E267">
        <v>66</v>
      </c>
      <c r="F267">
        <v>10</v>
      </c>
      <c r="G267">
        <v>6767</v>
      </c>
      <c r="H267">
        <v>1613</v>
      </c>
      <c r="I267">
        <v>42</v>
      </c>
      <c r="J267">
        <v>23</v>
      </c>
      <c r="K267">
        <v>18</v>
      </c>
      <c r="L267">
        <v>63</v>
      </c>
      <c r="N267">
        <v>10416</v>
      </c>
      <c r="O267" s="10"/>
      <c r="P267" s="10">
        <f t="shared" si="29"/>
        <v>0.80453149001536095</v>
      </c>
      <c r="Q267" s="10">
        <f t="shared" si="30"/>
        <v>0.16157834101382487</v>
      </c>
    </row>
    <row r="268" spans="1:17" x14ac:dyDescent="0.35">
      <c r="A268" t="s">
        <v>15</v>
      </c>
      <c r="B268">
        <v>1438</v>
      </c>
      <c r="C268">
        <v>306</v>
      </c>
      <c r="D268">
        <v>3</v>
      </c>
      <c r="E268">
        <v>21</v>
      </c>
      <c r="F268">
        <v>16</v>
      </c>
      <c r="G268">
        <v>6076</v>
      </c>
      <c r="H268">
        <v>1994</v>
      </c>
      <c r="I268">
        <v>25</v>
      </c>
      <c r="J268">
        <v>31</v>
      </c>
      <c r="K268">
        <v>51</v>
      </c>
      <c r="L268">
        <v>119</v>
      </c>
      <c r="N268">
        <v>10388</v>
      </c>
      <c r="O268" s="10"/>
      <c r="P268" s="10">
        <f t="shared" si="29"/>
        <v>0.77685791297651141</v>
      </c>
      <c r="Q268" s="10">
        <f t="shared" si="30"/>
        <v>0.17019638043896804</v>
      </c>
    </row>
    <row r="269" spans="1:17" x14ac:dyDescent="0.35">
      <c r="A269" t="s">
        <v>16</v>
      </c>
      <c r="B269">
        <v>608</v>
      </c>
      <c r="C269">
        <v>268</v>
      </c>
      <c r="D269">
        <v>3</v>
      </c>
      <c r="E269">
        <v>11</v>
      </c>
      <c r="F269">
        <v>3</v>
      </c>
      <c r="G269">
        <v>6318</v>
      </c>
      <c r="H269">
        <v>1504</v>
      </c>
      <c r="I269">
        <v>41</v>
      </c>
      <c r="J269">
        <v>24</v>
      </c>
      <c r="K269">
        <v>12</v>
      </c>
      <c r="L269">
        <v>77</v>
      </c>
      <c r="N269">
        <v>9148</v>
      </c>
      <c r="O269" s="10"/>
      <c r="P269" s="10">
        <f t="shared" si="29"/>
        <v>0.85505028421512896</v>
      </c>
      <c r="Q269" s="10">
        <f t="shared" si="30"/>
        <v>9.7289024923480544E-2</v>
      </c>
    </row>
    <row r="270" spans="1:17" ht="15" x14ac:dyDescent="0.4">
      <c r="A270" s="11" t="s">
        <v>567</v>
      </c>
      <c r="B270">
        <f>SUM(B260:B269)</f>
        <v>7689</v>
      </c>
      <c r="C270">
        <f t="shared" ref="C270:L270" si="31">SUM(C260:C269)</f>
        <v>2398</v>
      </c>
      <c r="D270">
        <f t="shared" si="31"/>
        <v>38</v>
      </c>
      <c r="E270">
        <f t="shared" si="31"/>
        <v>171</v>
      </c>
      <c r="F270">
        <f t="shared" si="31"/>
        <v>85</v>
      </c>
      <c r="G270">
        <f t="shared" si="31"/>
        <v>55769</v>
      </c>
      <c r="H270">
        <f t="shared" si="31"/>
        <v>15511</v>
      </c>
      <c r="I270">
        <f t="shared" si="31"/>
        <v>312</v>
      </c>
      <c r="J270">
        <f t="shared" si="31"/>
        <v>211</v>
      </c>
      <c r="K270">
        <f t="shared" si="31"/>
        <v>230</v>
      </c>
      <c r="L270">
        <f t="shared" si="31"/>
        <v>800</v>
      </c>
      <c r="N270">
        <v>86052</v>
      </c>
      <c r="O270" s="10"/>
      <c r="P270" s="10">
        <f t="shared" ref="P270" si="32">(G270+H270)/N270</f>
        <v>0.82833635476223677</v>
      </c>
      <c r="Q270" s="10">
        <f t="shared" ref="Q270" si="33">(SUM(B270:E270))/N270</f>
        <v>0.11964858457676754</v>
      </c>
    </row>
    <row r="271" spans="1:17" x14ac:dyDescent="0.35">
      <c r="A271" t="s">
        <v>637</v>
      </c>
      <c r="B271">
        <v>23</v>
      </c>
      <c r="C271">
        <v>8</v>
      </c>
      <c r="D271">
        <v>0</v>
      </c>
      <c r="E271">
        <v>0</v>
      </c>
      <c r="F271">
        <v>0</v>
      </c>
      <c r="G271">
        <v>208</v>
      </c>
      <c r="H271">
        <v>47</v>
      </c>
      <c r="I271">
        <v>0</v>
      </c>
      <c r="J271">
        <v>0</v>
      </c>
      <c r="K271">
        <v>0</v>
      </c>
      <c r="N271">
        <v>286</v>
      </c>
      <c r="P271" s="10">
        <f>(G271+H271)/N271</f>
        <v>0.89160839160839156</v>
      </c>
      <c r="Q271" s="10">
        <f>(SUM(B271:E271))/N271</f>
        <v>0.10839160839160839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44"/>
  <sheetViews>
    <sheetView workbookViewId="0">
      <selection activeCell="H36" sqref="H36"/>
    </sheetView>
  </sheetViews>
  <sheetFormatPr defaultRowHeight="14.5" x14ac:dyDescent="0.35"/>
  <sheetData>
    <row r="2" spans="1:94" x14ac:dyDescent="0.35">
      <c r="A2" s="4" t="s">
        <v>447</v>
      </c>
    </row>
    <row r="3" spans="1:94" x14ac:dyDescent="0.35">
      <c r="B3" s="2" t="s">
        <v>6</v>
      </c>
      <c r="AG3" t="s">
        <v>4</v>
      </c>
      <c r="BN3" s="2" t="s">
        <v>6</v>
      </c>
      <c r="BR3" t="s">
        <v>4</v>
      </c>
    </row>
    <row r="4" spans="1:94" x14ac:dyDescent="0.35">
      <c r="B4" s="24" t="s">
        <v>417</v>
      </c>
      <c r="C4" s="24" t="s">
        <v>418</v>
      </c>
      <c r="D4" s="24" t="s">
        <v>419</v>
      </c>
      <c r="E4" s="24" t="s">
        <v>420</v>
      </c>
      <c r="F4" t="s">
        <v>421</v>
      </c>
      <c r="G4" s="25" t="s">
        <v>422</v>
      </c>
      <c r="H4" s="25" t="s">
        <v>423</v>
      </c>
      <c r="I4" s="25" t="s">
        <v>424</v>
      </c>
      <c r="J4" s="25" t="s">
        <v>425</v>
      </c>
      <c r="K4" s="25" t="s">
        <v>426</v>
      </c>
      <c r="L4" s="25" t="s">
        <v>427</v>
      </c>
      <c r="M4" s="25" t="s">
        <v>428</v>
      </c>
      <c r="N4" s="25" t="s">
        <v>429</v>
      </c>
      <c r="O4" s="25" t="s">
        <v>430</v>
      </c>
      <c r="P4" s="27" t="s">
        <v>431</v>
      </c>
      <c r="Q4" s="27" t="s">
        <v>432</v>
      </c>
      <c r="R4" s="27" t="s">
        <v>433</v>
      </c>
      <c r="S4" t="s">
        <v>434</v>
      </c>
      <c r="T4" t="s">
        <v>435</v>
      </c>
      <c r="U4" s="27" t="s">
        <v>436</v>
      </c>
      <c r="V4" t="s">
        <v>437</v>
      </c>
      <c r="W4" t="s">
        <v>438</v>
      </c>
      <c r="X4" t="s">
        <v>439</v>
      </c>
      <c r="Y4" t="s">
        <v>440</v>
      </c>
      <c r="Z4" t="s">
        <v>441</v>
      </c>
      <c r="AA4" t="s">
        <v>442</v>
      </c>
      <c r="AB4" s="28" t="s">
        <v>443</v>
      </c>
      <c r="AC4" s="28" t="s">
        <v>444</v>
      </c>
      <c r="AD4" t="s">
        <v>445</v>
      </c>
      <c r="AE4" t="s">
        <v>446</v>
      </c>
      <c r="AF4" t="s">
        <v>29</v>
      </c>
      <c r="AG4" s="26" t="s">
        <v>417</v>
      </c>
      <c r="AH4" s="26" t="s">
        <v>418</v>
      </c>
      <c r="AI4" s="26" t="s">
        <v>419</v>
      </c>
      <c r="AJ4" s="26" t="s">
        <v>420</v>
      </c>
      <c r="AK4" t="s">
        <v>421</v>
      </c>
      <c r="AL4" s="25" t="s">
        <v>422</v>
      </c>
      <c r="AM4" s="25" t="s">
        <v>423</v>
      </c>
      <c r="AN4" s="25" t="s">
        <v>424</v>
      </c>
      <c r="AO4" s="25" t="s">
        <v>425</v>
      </c>
      <c r="AP4" s="25" t="s">
        <v>426</v>
      </c>
      <c r="AQ4" s="25" t="s">
        <v>427</v>
      </c>
      <c r="AR4" s="25" t="s">
        <v>428</v>
      </c>
      <c r="AS4" s="25" t="s">
        <v>429</v>
      </c>
      <c r="AT4" s="25" t="s">
        <v>430</v>
      </c>
      <c r="AU4" s="27" t="s">
        <v>431</v>
      </c>
      <c r="AV4" s="27" t="s">
        <v>432</v>
      </c>
      <c r="AW4" s="27" t="s">
        <v>433</v>
      </c>
      <c r="AX4" t="s">
        <v>434</v>
      </c>
      <c r="AY4" t="s">
        <v>435</v>
      </c>
      <c r="AZ4" s="27" t="s">
        <v>436</v>
      </c>
      <c r="BA4" t="s">
        <v>437</v>
      </c>
      <c r="BB4" t="s">
        <v>438</v>
      </c>
      <c r="BC4" t="s">
        <v>439</v>
      </c>
      <c r="BD4" t="s">
        <v>440</v>
      </c>
      <c r="BE4" t="s">
        <v>441</v>
      </c>
      <c r="BF4" t="s">
        <v>442</v>
      </c>
      <c r="BG4" s="28" t="s">
        <v>443</v>
      </c>
      <c r="BH4" s="28" t="s">
        <v>444</v>
      </c>
      <c r="BI4" t="s">
        <v>445</v>
      </c>
      <c r="BJ4" t="s">
        <v>446</v>
      </c>
      <c r="BK4" t="s">
        <v>29</v>
      </c>
      <c r="BL4" s="2" t="s">
        <v>6</v>
      </c>
      <c r="BM4" t="s">
        <v>4</v>
      </c>
      <c r="BN4" t="s">
        <v>604</v>
      </c>
      <c r="BO4" t="s">
        <v>605</v>
      </c>
      <c r="BP4" t="s">
        <v>606</v>
      </c>
      <c r="BQ4" t="s">
        <v>607</v>
      </c>
      <c r="BR4" t="s">
        <v>604</v>
      </c>
      <c r="BS4" t="s">
        <v>605</v>
      </c>
      <c r="BT4" t="s">
        <v>606</v>
      </c>
      <c r="BU4" t="s">
        <v>607</v>
      </c>
    </row>
    <row r="5" spans="1:94" x14ac:dyDescent="0.35">
      <c r="A5" t="s">
        <v>7</v>
      </c>
      <c r="B5">
        <v>3</v>
      </c>
      <c r="C5">
        <v>9</v>
      </c>
      <c r="D5">
        <v>0</v>
      </c>
      <c r="E5">
        <v>0</v>
      </c>
      <c r="F5">
        <v>5</v>
      </c>
      <c r="G5" s="3">
        <v>3184</v>
      </c>
      <c r="H5">
        <v>359</v>
      </c>
      <c r="I5">
        <v>8</v>
      </c>
      <c r="J5">
        <v>24</v>
      </c>
      <c r="K5">
        <v>23</v>
      </c>
      <c r="L5">
        <v>9</v>
      </c>
      <c r="M5" s="3">
        <v>2779</v>
      </c>
      <c r="N5">
        <v>416</v>
      </c>
      <c r="O5">
        <v>13</v>
      </c>
      <c r="P5">
        <v>264</v>
      </c>
      <c r="Q5">
        <v>49</v>
      </c>
      <c r="R5">
        <v>4</v>
      </c>
      <c r="S5">
        <v>24</v>
      </c>
      <c r="T5">
        <v>0</v>
      </c>
      <c r="U5">
        <v>21</v>
      </c>
      <c r="V5">
        <v>0</v>
      </c>
      <c r="W5">
        <v>0</v>
      </c>
      <c r="X5">
        <v>0</v>
      </c>
      <c r="Y5">
        <v>16</v>
      </c>
      <c r="Z5">
        <v>4</v>
      </c>
      <c r="AA5">
        <v>27</v>
      </c>
      <c r="AB5">
        <v>8</v>
      </c>
      <c r="AC5">
        <v>4</v>
      </c>
      <c r="AD5">
        <v>118</v>
      </c>
      <c r="AE5">
        <v>303</v>
      </c>
      <c r="AF5">
        <v>15</v>
      </c>
      <c r="AG5">
        <v>265</v>
      </c>
      <c r="AH5">
        <v>956</v>
      </c>
      <c r="AI5">
        <v>5</v>
      </c>
      <c r="AJ5">
        <v>6</v>
      </c>
      <c r="AK5">
        <v>176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 s="3">
        <v>1635</v>
      </c>
      <c r="AS5">
        <v>173</v>
      </c>
      <c r="AT5">
        <v>0</v>
      </c>
      <c r="AU5" s="3">
        <v>2706</v>
      </c>
      <c r="AV5">
        <v>474</v>
      </c>
      <c r="AW5">
        <v>3</v>
      </c>
      <c r="AX5">
        <v>235</v>
      </c>
      <c r="AY5">
        <v>0</v>
      </c>
      <c r="AZ5">
        <v>56</v>
      </c>
      <c r="BA5">
        <v>0</v>
      </c>
      <c r="BB5">
        <v>17</v>
      </c>
      <c r="BC5">
        <v>0</v>
      </c>
      <c r="BD5">
        <v>58</v>
      </c>
      <c r="BE5">
        <v>5</v>
      </c>
      <c r="BF5">
        <v>282</v>
      </c>
      <c r="BG5">
        <v>289</v>
      </c>
      <c r="BH5">
        <v>153</v>
      </c>
      <c r="BI5">
        <v>390</v>
      </c>
      <c r="BJ5">
        <v>345</v>
      </c>
      <c r="BK5">
        <v>79</v>
      </c>
      <c r="BL5">
        <f>SUM(B5:AF5)</f>
        <v>7689</v>
      </c>
      <c r="BM5">
        <f>SUM(AG5:BK5)</f>
        <v>8308</v>
      </c>
      <c r="BN5" s="29">
        <f>(SUM(B5:E5))/BL5</f>
        <v>1.5606710885680843E-3</v>
      </c>
      <c r="BO5" s="10">
        <f>(SUM(G5:O5))/BL5</f>
        <v>0.88633112238262457</v>
      </c>
      <c r="BP5" s="10">
        <f>(SUM(P5:R5,U5))/BL5</f>
        <v>4.3958902328001037E-2</v>
      </c>
      <c r="BQ5" s="29">
        <f>(SUM(AB5:AC5))/BL5</f>
        <v>1.5606710885680843E-3</v>
      </c>
      <c r="BR5" s="10">
        <f>(SUM(AG5:AJ5))/BM5</f>
        <v>0.14829080404429465</v>
      </c>
      <c r="BS5" s="10">
        <f>(SUM(AL5:AT5))/BM5</f>
        <v>0.21762156957149736</v>
      </c>
      <c r="BT5" s="10">
        <f>(SUM(AU5:AW5,AZ5))/BM5</f>
        <v>0.38986519017814153</v>
      </c>
      <c r="BU5" s="10">
        <f>(SUM(BG5:BH5))/BM5</f>
        <v>5.3201733269138178E-2</v>
      </c>
      <c r="BW5" s="3"/>
      <c r="BZ5" s="3"/>
    </row>
    <row r="6" spans="1:94" x14ac:dyDescent="0.35">
      <c r="A6" t="s">
        <v>8</v>
      </c>
      <c r="B6">
        <v>3</v>
      </c>
      <c r="C6">
        <v>9</v>
      </c>
      <c r="D6">
        <v>0</v>
      </c>
      <c r="E6">
        <v>0</v>
      </c>
      <c r="F6">
        <v>18</v>
      </c>
      <c r="G6" s="3">
        <v>10499</v>
      </c>
      <c r="H6">
        <v>873</v>
      </c>
      <c r="I6">
        <v>27</v>
      </c>
      <c r="J6">
        <v>85</v>
      </c>
      <c r="K6">
        <v>100</v>
      </c>
      <c r="L6">
        <v>40</v>
      </c>
      <c r="M6" s="3">
        <v>9829</v>
      </c>
      <c r="N6">
        <v>974</v>
      </c>
      <c r="O6">
        <v>21</v>
      </c>
      <c r="P6">
        <v>595</v>
      </c>
      <c r="Q6">
        <v>87</v>
      </c>
      <c r="R6">
        <v>0</v>
      </c>
      <c r="S6">
        <v>118</v>
      </c>
      <c r="T6">
        <v>0</v>
      </c>
      <c r="U6">
        <v>88</v>
      </c>
      <c r="V6">
        <v>0</v>
      </c>
      <c r="W6">
        <v>11</v>
      </c>
      <c r="X6">
        <v>0</v>
      </c>
      <c r="Y6">
        <v>98</v>
      </c>
      <c r="Z6">
        <v>8</v>
      </c>
      <c r="AA6">
        <v>83</v>
      </c>
      <c r="AB6">
        <v>25</v>
      </c>
      <c r="AC6">
        <v>10</v>
      </c>
      <c r="AD6">
        <v>278</v>
      </c>
      <c r="AE6">
        <v>816</v>
      </c>
      <c r="AF6">
        <v>62</v>
      </c>
      <c r="AG6" s="3">
        <v>1239</v>
      </c>
      <c r="AH6" s="3">
        <v>1634</v>
      </c>
      <c r="AI6">
        <v>18</v>
      </c>
      <c r="AJ6">
        <v>32</v>
      </c>
      <c r="AK6">
        <v>388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 s="3">
        <v>7751</v>
      </c>
      <c r="AS6">
        <v>593</v>
      </c>
      <c r="AT6">
        <v>10</v>
      </c>
      <c r="AU6" s="3">
        <v>9993</v>
      </c>
      <c r="AV6" s="3">
        <v>1253</v>
      </c>
      <c r="AW6">
        <v>12</v>
      </c>
      <c r="AX6" s="3">
        <v>1009</v>
      </c>
      <c r="AY6">
        <v>0</v>
      </c>
      <c r="AZ6">
        <v>223</v>
      </c>
      <c r="BA6">
        <v>0</v>
      </c>
      <c r="BB6">
        <v>132</v>
      </c>
      <c r="BC6">
        <v>6</v>
      </c>
      <c r="BD6">
        <v>368</v>
      </c>
      <c r="BE6">
        <v>58</v>
      </c>
      <c r="BF6">
        <v>959</v>
      </c>
      <c r="BG6">
        <v>797</v>
      </c>
      <c r="BH6">
        <v>372</v>
      </c>
      <c r="BI6">
        <v>919</v>
      </c>
      <c r="BJ6" s="3">
        <v>1048</v>
      </c>
      <c r="BK6">
        <v>260</v>
      </c>
      <c r="BL6">
        <f t="shared" ref="BL6:BL15" si="0">SUM(B6:AF6)</f>
        <v>24757</v>
      </c>
      <c r="BM6">
        <f t="shared" ref="BM6:BM15" si="1">SUM(AG6:BK6)</f>
        <v>29074</v>
      </c>
      <c r="BN6" s="29">
        <f t="shared" ref="BN6:BN15" si="2">(SUM(B6:E6))/BL6</f>
        <v>4.8471139475703839E-4</v>
      </c>
      <c r="BO6" s="10">
        <f t="shared" ref="BO6:BO15" si="3">(SUM(G6:O6))/BL6</f>
        <v>0.90673344912549991</v>
      </c>
      <c r="BP6" s="10">
        <f t="shared" ref="BP6:BP15" si="4">(SUM(P6:R6,U6))/BL6</f>
        <v>3.1102314496909964E-2</v>
      </c>
      <c r="BQ6" s="29">
        <f t="shared" ref="BQ6:BQ15" si="5">(SUM(AB6:AC6))/BL6</f>
        <v>1.413741568041362E-3</v>
      </c>
      <c r="BR6" s="10">
        <f t="shared" ref="BR6:BR15" si="6">(SUM(AG6:AJ6))/BM6</f>
        <v>0.10053656187659077</v>
      </c>
      <c r="BS6" s="10">
        <f t="shared" ref="BS6:BS15" si="7">(SUM(AL6:AT6))/BM6</f>
        <v>0.28733576391277432</v>
      </c>
      <c r="BT6" s="10">
        <f t="shared" ref="BT6:BT15" si="8">(SUM(AU6:AW6,AZ6))/BM6</f>
        <v>0.39488890417555206</v>
      </c>
      <c r="BU6" s="10">
        <f t="shared" ref="BU6:BU15" si="9">(SUM(BG6:BH6))/BM6</f>
        <v>4.0207745752218478E-2</v>
      </c>
      <c r="BW6" s="3"/>
      <c r="BX6" s="3"/>
      <c r="BZ6" s="3"/>
      <c r="CA6" s="3"/>
      <c r="CC6" s="3"/>
      <c r="CK6" s="3"/>
      <c r="CN6" s="3"/>
      <c r="CO6" s="3"/>
    </row>
    <row r="7" spans="1:94" x14ac:dyDescent="0.35">
      <c r="A7" t="s">
        <v>9</v>
      </c>
      <c r="B7">
        <v>0</v>
      </c>
      <c r="C7">
        <v>11</v>
      </c>
      <c r="D7">
        <v>0</v>
      </c>
      <c r="E7">
        <v>0</v>
      </c>
      <c r="F7">
        <v>6</v>
      </c>
      <c r="G7" s="3">
        <v>7059</v>
      </c>
      <c r="H7">
        <v>408</v>
      </c>
      <c r="I7">
        <v>8</v>
      </c>
      <c r="J7">
        <v>55</v>
      </c>
      <c r="K7">
        <v>67</v>
      </c>
      <c r="L7">
        <v>13</v>
      </c>
      <c r="M7" s="3">
        <v>6685</v>
      </c>
      <c r="N7">
        <v>429</v>
      </c>
      <c r="O7">
        <v>10</v>
      </c>
      <c r="P7">
        <v>441</v>
      </c>
      <c r="Q7">
        <v>47</v>
      </c>
      <c r="R7">
        <v>0</v>
      </c>
      <c r="S7">
        <v>57</v>
      </c>
      <c r="T7">
        <v>0</v>
      </c>
      <c r="U7">
        <v>46</v>
      </c>
      <c r="V7">
        <v>0</v>
      </c>
      <c r="W7">
        <v>5</v>
      </c>
      <c r="X7">
        <v>0</v>
      </c>
      <c r="Y7">
        <v>36</v>
      </c>
      <c r="Z7">
        <v>6</v>
      </c>
      <c r="AA7">
        <v>38</v>
      </c>
      <c r="AB7">
        <v>16</v>
      </c>
      <c r="AC7">
        <v>17</v>
      </c>
      <c r="AD7">
        <v>204</v>
      </c>
      <c r="AE7">
        <v>637</v>
      </c>
      <c r="AF7">
        <v>29</v>
      </c>
      <c r="AG7" s="3">
        <v>1055</v>
      </c>
      <c r="AH7">
        <v>853</v>
      </c>
      <c r="AI7">
        <v>8</v>
      </c>
      <c r="AJ7">
        <v>14</v>
      </c>
      <c r="AK7">
        <v>247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 s="3">
        <v>5742</v>
      </c>
      <c r="AS7">
        <v>300</v>
      </c>
      <c r="AT7">
        <v>0</v>
      </c>
      <c r="AU7" s="3">
        <v>7322</v>
      </c>
      <c r="AV7">
        <v>643</v>
      </c>
      <c r="AW7">
        <v>3</v>
      </c>
      <c r="AX7">
        <v>656</v>
      </c>
      <c r="AY7">
        <v>0</v>
      </c>
      <c r="AZ7">
        <v>142</v>
      </c>
      <c r="BA7">
        <v>0</v>
      </c>
      <c r="BB7">
        <v>73</v>
      </c>
      <c r="BC7">
        <v>4</v>
      </c>
      <c r="BD7">
        <v>205</v>
      </c>
      <c r="BE7">
        <v>35</v>
      </c>
      <c r="BF7">
        <v>482</v>
      </c>
      <c r="BG7">
        <v>660</v>
      </c>
      <c r="BH7">
        <v>324</v>
      </c>
      <c r="BI7">
        <v>586</v>
      </c>
      <c r="BJ7">
        <v>771</v>
      </c>
      <c r="BK7">
        <v>163</v>
      </c>
      <c r="BL7">
        <f t="shared" si="0"/>
        <v>16330</v>
      </c>
      <c r="BM7">
        <f t="shared" si="1"/>
        <v>20288</v>
      </c>
      <c r="BN7" s="29">
        <f t="shared" si="2"/>
        <v>6.7360685854255973E-4</v>
      </c>
      <c r="BO7" s="10">
        <f t="shared" si="3"/>
        <v>0.9022657685241886</v>
      </c>
      <c r="BP7" s="10">
        <f t="shared" si="4"/>
        <v>3.270055113288426E-2</v>
      </c>
      <c r="BQ7" s="29">
        <f t="shared" si="5"/>
        <v>2.0208205756276792E-3</v>
      </c>
      <c r="BR7" s="10">
        <f t="shared" si="6"/>
        <v>9.5130126182965305E-2</v>
      </c>
      <c r="BS7" s="10">
        <f t="shared" si="7"/>
        <v>0.2978115141955836</v>
      </c>
      <c r="BT7" s="10">
        <f t="shared" si="8"/>
        <v>0.399743690851735</v>
      </c>
      <c r="BU7" s="10">
        <f t="shared" si="9"/>
        <v>4.8501577287066243E-2</v>
      </c>
      <c r="BW7" s="3"/>
      <c r="BZ7" s="3"/>
      <c r="CO7" s="3"/>
    </row>
    <row r="8" spans="1:94" x14ac:dyDescent="0.35">
      <c r="A8" t="s">
        <v>10</v>
      </c>
      <c r="B8">
        <v>5</v>
      </c>
      <c r="C8">
        <v>5</v>
      </c>
      <c r="D8">
        <v>0</v>
      </c>
      <c r="E8">
        <v>0</v>
      </c>
      <c r="F8">
        <v>15</v>
      </c>
      <c r="G8" s="3">
        <v>4981</v>
      </c>
      <c r="H8">
        <v>398</v>
      </c>
      <c r="I8">
        <v>7</v>
      </c>
      <c r="J8">
        <v>51</v>
      </c>
      <c r="K8">
        <v>55</v>
      </c>
      <c r="L8">
        <v>6</v>
      </c>
      <c r="M8" s="3">
        <v>4192</v>
      </c>
      <c r="N8">
        <v>400</v>
      </c>
      <c r="O8">
        <v>4</v>
      </c>
      <c r="P8">
        <v>285</v>
      </c>
      <c r="Q8">
        <v>56</v>
      </c>
      <c r="R8">
        <v>0</v>
      </c>
      <c r="S8">
        <v>46</v>
      </c>
      <c r="T8">
        <v>0</v>
      </c>
      <c r="U8">
        <v>41</v>
      </c>
      <c r="V8">
        <v>0</v>
      </c>
      <c r="W8">
        <v>3</v>
      </c>
      <c r="X8">
        <v>0</v>
      </c>
      <c r="Y8">
        <v>37</v>
      </c>
      <c r="Z8">
        <v>6</v>
      </c>
      <c r="AA8">
        <v>28</v>
      </c>
      <c r="AB8">
        <v>5</v>
      </c>
      <c r="AC8">
        <v>11</v>
      </c>
      <c r="AD8">
        <v>151</v>
      </c>
      <c r="AE8">
        <v>432</v>
      </c>
      <c r="AF8">
        <v>23</v>
      </c>
      <c r="AG8">
        <v>401</v>
      </c>
      <c r="AH8">
        <v>818</v>
      </c>
      <c r="AI8">
        <v>0</v>
      </c>
      <c r="AJ8">
        <v>14</v>
      </c>
      <c r="AK8">
        <v>216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 s="3">
        <v>2910</v>
      </c>
      <c r="AS8">
        <v>261</v>
      </c>
      <c r="AT8">
        <v>6</v>
      </c>
      <c r="AU8" s="3">
        <v>4160</v>
      </c>
      <c r="AV8">
        <v>536</v>
      </c>
      <c r="AW8">
        <v>0</v>
      </c>
      <c r="AX8">
        <v>399</v>
      </c>
      <c r="AY8">
        <v>0</v>
      </c>
      <c r="AZ8">
        <v>80</v>
      </c>
      <c r="BA8">
        <v>0</v>
      </c>
      <c r="BB8">
        <v>60</v>
      </c>
      <c r="BC8">
        <v>0</v>
      </c>
      <c r="BD8">
        <v>135</v>
      </c>
      <c r="BE8">
        <v>25</v>
      </c>
      <c r="BF8">
        <v>335</v>
      </c>
      <c r="BG8">
        <v>319</v>
      </c>
      <c r="BH8">
        <v>204</v>
      </c>
      <c r="BI8">
        <v>408</v>
      </c>
      <c r="BJ8">
        <v>525</v>
      </c>
      <c r="BK8">
        <v>285</v>
      </c>
      <c r="BL8">
        <f t="shared" si="0"/>
        <v>11243</v>
      </c>
      <c r="BM8">
        <f t="shared" si="1"/>
        <v>12097</v>
      </c>
      <c r="BN8" s="29">
        <f t="shared" si="2"/>
        <v>8.8944231966556968E-4</v>
      </c>
      <c r="BO8" s="10">
        <f t="shared" si="3"/>
        <v>0.89780307747042609</v>
      </c>
      <c r="BP8" s="10">
        <f t="shared" si="4"/>
        <v>3.3976696611224759E-2</v>
      </c>
      <c r="BQ8" s="29">
        <f t="shared" si="5"/>
        <v>1.4231077114649116E-3</v>
      </c>
      <c r="BR8" s="10">
        <f t="shared" si="6"/>
        <v>0.10192609737951558</v>
      </c>
      <c r="BS8" s="10">
        <f t="shared" si="7"/>
        <v>0.26262709762751096</v>
      </c>
      <c r="BT8" s="10">
        <f t="shared" si="8"/>
        <v>0.39480863023890223</v>
      </c>
      <c r="BU8" s="10">
        <f t="shared" si="9"/>
        <v>4.3233859634620155E-2</v>
      </c>
      <c r="BW8" s="3"/>
      <c r="BZ8" s="3"/>
    </row>
    <row r="9" spans="1:94" x14ac:dyDescent="0.35">
      <c r="A9" t="s">
        <v>11</v>
      </c>
      <c r="B9">
        <v>0</v>
      </c>
      <c r="C9">
        <v>4</v>
      </c>
      <c r="D9">
        <v>0</v>
      </c>
      <c r="E9">
        <v>0</v>
      </c>
      <c r="F9">
        <v>3</v>
      </c>
      <c r="G9" s="3">
        <v>1319</v>
      </c>
      <c r="H9">
        <v>145</v>
      </c>
      <c r="I9">
        <v>9</v>
      </c>
      <c r="J9">
        <v>13</v>
      </c>
      <c r="K9">
        <v>12</v>
      </c>
      <c r="L9">
        <v>5</v>
      </c>
      <c r="M9" s="3">
        <v>1187</v>
      </c>
      <c r="N9">
        <v>162</v>
      </c>
      <c r="O9">
        <v>0</v>
      </c>
      <c r="P9">
        <v>103</v>
      </c>
      <c r="Q9">
        <v>16</v>
      </c>
      <c r="R9">
        <v>0</v>
      </c>
      <c r="S9">
        <v>6</v>
      </c>
      <c r="T9">
        <v>0</v>
      </c>
      <c r="U9">
        <v>25</v>
      </c>
      <c r="V9">
        <v>0</v>
      </c>
      <c r="W9">
        <v>0</v>
      </c>
      <c r="X9">
        <v>0</v>
      </c>
      <c r="Y9">
        <v>7</v>
      </c>
      <c r="Z9">
        <v>0</v>
      </c>
      <c r="AA9">
        <v>16</v>
      </c>
      <c r="AB9">
        <v>5</v>
      </c>
      <c r="AC9">
        <v>0</v>
      </c>
      <c r="AD9">
        <v>48</v>
      </c>
      <c r="AE9">
        <v>165</v>
      </c>
      <c r="AF9">
        <v>179</v>
      </c>
      <c r="AG9">
        <v>72</v>
      </c>
      <c r="AH9">
        <v>340</v>
      </c>
      <c r="AI9">
        <v>3</v>
      </c>
      <c r="AJ9">
        <v>0</v>
      </c>
      <c r="AK9">
        <v>69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555</v>
      </c>
      <c r="AS9">
        <v>58</v>
      </c>
      <c r="AT9">
        <v>0</v>
      </c>
      <c r="AU9" s="3">
        <v>1215</v>
      </c>
      <c r="AV9">
        <v>156</v>
      </c>
      <c r="AW9">
        <v>0</v>
      </c>
      <c r="AX9">
        <v>54</v>
      </c>
      <c r="AY9">
        <v>0</v>
      </c>
      <c r="AZ9">
        <v>35</v>
      </c>
      <c r="BA9">
        <v>0</v>
      </c>
      <c r="BB9">
        <v>6</v>
      </c>
      <c r="BC9">
        <v>0</v>
      </c>
      <c r="BD9">
        <v>17</v>
      </c>
      <c r="BE9">
        <v>0</v>
      </c>
      <c r="BF9">
        <v>116</v>
      </c>
      <c r="BG9">
        <v>190</v>
      </c>
      <c r="BH9">
        <v>67</v>
      </c>
      <c r="BI9">
        <v>189</v>
      </c>
      <c r="BJ9">
        <v>178</v>
      </c>
      <c r="BK9">
        <v>238</v>
      </c>
      <c r="BL9">
        <f t="shared" si="0"/>
        <v>3429</v>
      </c>
      <c r="BM9">
        <f t="shared" si="1"/>
        <v>3558</v>
      </c>
      <c r="BN9" s="29">
        <f t="shared" si="2"/>
        <v>1.1665208515602217E-3</v>
      </c>
      <c r="BO9" s="10">
        <f t="shared" si="3"/>
        <v>0.83172936716243806</v>
      </c>
      <c r="BP9" s="10">
        <f t="shared" si="4"/>
        <v>4.1994750656167978E-2</v>
      </c>
      <c r="BQ9" s="29">
        <f t="shared" si="5"/>
        <v>1.4581510644502771E-3</v>
      </c>
      <c r="BR9" s="10">
        <f t="shared" si="6"/>
        <v>0.11663856098931984</v>
      </c>
      <c r="BS9" s="10">
        <f t="shared" si="7"/>
        <v>0.17228780213603148</v>
      </c>
      <c r="BT9" s="10">
        <f t="shared" si="8"/>
        <v>0.39516582349634627</v>
      </c>
      <c r="BU9" s="10">
        <f t="shared" si="9"/>
        <v>7.2231590781337826E-2</v>
      </c>
      <c r="BW9" s="3"/>
      <c r="BZ9" s="3"/>
    </row>
    <row r="10" spans="1:94" x14ac:dyDescent="0.35">
      <c r="A10" t="s">
        <v>12</v>
      </c>
      <c r="B10">
        <v>0</v>
      </c>
      <c r="C10">
        <v>12</v>
      </c>
      <c r="D10">
        <v>0</v>
      </c>
      <c r="E10">
        <v>0</v>
      </c>
      <c r="F10">
        <v>0</v>
      </c>
      <c r="G10" s="3">
        <v>4578</v>
      </c>
      <c r="H10">
        <v>471</v>
      </c>
      <c r="I10">
        <v>12</v>
      </c>
      <c r="J10">
        <v>23</v>
      </c>
      <c r="K10">
        <v>12</v>
      </c>
      <c r="L10">
        <v>6</v>
      </c>
      <c r="M10" s="3">
        <v>4054</v>
      </c>
      <c r="N10">
        <v>461</v>
      </c>
      <c r="O10">
        <v>13</v>
      </c>
      <c r="P10">
        <v>307</v>
      </c>
      <c r="Q10">
        <v>47</v>
      </c>
      <c r="R10">
        <v>4</v>
      </c>
      <c r="S10">
        <v>22</v>
      </c>
      <c r="T10">
        <v>0</v>
      </c>
      <c r="U10">
        <v>34</v>
      </c>
      <c r="V10">
        <v>0</v>
      </c>
      <c r="W10">
        <v>0</v>
      </c>
      <c r="X10">
        <v>0</v>
      </c>
      <c r="Y10">
        <v>15</v>
      </c>
      <c r="Z10">
        <v>4</v>
      </c>
      <c r="AA10">
        <v>53</v>
      </c>
      <c r="AB10">
        <v>5</v>
      </c>
      <c r="AC10">
        <v>5</v>
      </c>
      <c r="AD10">
        <v>235</v>
      </c>
      <c r="AE10">
        <v>400</v>
      </c>
      <c r="AF10">
        <v>169</v>
      </c>
      <c r="AG10">
        <v>184</v>
      </c>
      <c r="AH10">
        <v>808</v>
      </c>
      <c r="AI10">
        <v>0</v>
      </c>
      <c r="AJ10">
        <v>9</v>
      </c>
      <c r="AK10">
        <v>150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 s="3">
        <v>2200</v>
      </c>
      <c r="AS10">
        <v>220</v>
      </c>
      <c r="AT10">
        <v>4</v>
      </c>
      <c r="AU10" s="3">
        <v>3655</v>
      </c>
      <c r="AV10">
        <v>549</v>
      </c>
      <c r="AW10">
        <v>3</v>
      </c>
      <c r="AX10">
        <v>205</v>
      </c>
      <c r="AY10">
        <v>0</v>
      </c>
      <c r="AZ10">
        <v>95</v>
      </c>
      <c r="BA10">
        <v>0</v>
      </c>
      <c r="BB10">
        <v>10</v>
      </c>
      <c r="BC10">
        <v>0</v>
      </c>
      <c r="BD10">
        <v>33</v>
      </c>
      <c r="BE10">
        <v>12</v>
      </c>
      <c r="BF10">
        <v>313</v>
      </c>
      <c r="BG10">
        <v>292</v>
      </c>
      <c r="BH10">
        <v>300</v>
      </c>
      <c r="BI10">
        <v>600</v>
      </c>
      <c r="BJ10">
        <v>371</v>
      </c>
      <c r="BK10">
        <v>831</v>
      </c>
      <c r="BL10">
        <f t="shared" si="0"/>
        <v>10942</v>
      </c>
      <c r="BM10">
        <f t="shared" si="1"/>
        <v>10844</v>
      </c>
      <c r="BN10" s="29">
        <f t="shared" si="2"/>
        <v>1.0966916468652897E-3</v>
      </c>
      <c r="BO10" s="10">
        <f t="shared" si="3"/>
        <v>0.88009504660939497</v>
      </c>
      <c r="BP10" s="10">
        <f t="shared" si="4"/>
        <v>3.582526046426613E-2</v>
      </c>
      <c r="BQ10" s="29">
        <f t="shared" si="5"/>
        <v>9.1390970572107475E-4</v>
      </c>
      <c r="BR10" s="10">
        <f t="shared" si="6"/>
        <v>9.2309111029140536E-2</v>
      </c>
      <c r="BS10" s="10">
        <f t="shared" si="7"/>
        <v>0.2235337513832534</v>
      </c>
      <c r="BT10" s="10">
        <f t="shared" si="8"/>
        <v>0.39671707856879379</v>
      </c>
      <c r="BU10" s="10">
        <f t="shared" si="9"/>
        <v>5.4592401327923278E-2</v>
      </c>
      <c r="BW10" s="3"/>
      <c r="BZ10" s="3"/>
    </row>
    <row r="11" spans="1:94" x14ac:dyDescent="0.35">
      <c r="A11" t="s">
        <v>13</v>
      </c>
      <c r="B11">
        <v>0</v>
      </c>
      <c r="C11">
        <v>0</v>
      </c>
      <c r="D11">
        <v>0</v>
      </c>
      <c r="E11">
        <v>0</v>
      </c>
      <c r="F11">
        <v>0</v>
      </c>
      <c r="G11" s="3">
        <v>2479</v>
      </c>
      <c r="H11">
        <v>160</v>
      </c>
      <c r="I11">
        <v>5</v>
      </c>
      <c r="J11">
        <v>3</v>
      </c>
      <c r="K11">
        <v>10</v>
      </c>
      <c r="L11">
        <v>4</v>
      </c>
      <c r="M11" s="3">
        <v>2288</v>
      </c>
      <c r="N11">
        <v>174</v>
      </c>
      <c r="O11">
        <v>8</v>
      </c>
      <c r="P11">
        <v>100</v>
      </c>
      <c r="Q11">
        <v>15</v>
      </c>
      <c r="R11">
        <v>0</v>
      </c>
      <c r="S11">
        <v>13</v>
      </c>
      <c r="T11">
        <v>0</v>
      </c>
      <c r="U11">
        <v>10</v>
      </c>
      <c r="V11">
        <v>0</v>
      </c>
      <c r="W11">
        <v>0</v>
      </c>
      <c r="X11">
        <v>0</v>
      </c>
      <c r="Y11">
        <v>5</v>
      </c>
      <c r="Z11">
        <v>0</v>
      </c>
      <c r="AA11">
        <v>22</v>
      </c>
      <c r="AB11">
        <v>3</v>
      </c>
      <c r="AC11">
        <v>0</v>
      </c>
      <c r="AD11">
        <v>71</v>
      </c>
      <c r="AE11">
        <v>146</v>
      </c>
      <c r="AF11">
        <v>45</v>
      </c>
      <c r="AG11">
        <v>50</v>
      </c>
      <c r="AH11">
        <v>150</v>
      </c>
      <c r="AI11">
        <v>3</v>
      </c>
      <c r="AJ11">
        <v>4</v>
      </c>
      <c r="AK11">
        <v>17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 s="3">
        <v>2094</v>
      </c>
      <c r="AS11">
        <v>136</v>
      </c>
      <c r="AT11">
        <v>0</v>
      </c>
      <c r="AU11" s="3">
        <v>2281</v>
      </c>
      <c r="AV11">
        <v>246</v>
      </c>
      <c r="AW11">
        <v>0</v>
      </c>
      <c r="AX11">
        <v>84</v>
      </c>
      <c r="AY11">
        <v>0</v>
      </c>
      <c r="AZ11">
        <v>32</v>
      </c>
      <c r="BA11">
        <v>0</v>
      </c>
      <c r="BB11">
        <v>0</v>
      </c>
      <c r="BC11">
        <v>0</v>
      </c>
      <c r="BD11">
        <v>33</v>
      </c>
      <c r="BE11">
        <v>0</v>
      </c>
      <c r="BF11">
        <v>92</v>
      </c>
      <c r="BG11">
        <v>62</v>
      </c>
      <c r="BH11">
        <v>95</v>
      </c>
      <c r="BI11">
        <v>210</v>
      </c>
      <c r="BJ11">
        <v>154</v>
      </c>
      <c r="BK11">
        <v>43</v>
      </c>
      <c r="BL11">
        <f t="shared" si="0"/>
        <v>5561</v>
      </c>
      <c r="BM11">
        <f t="shared" si="1"/>
        <v>5786</v>
      </c>
      <c r="BN11" s="29">
        <f t="shared" si="2"/>
        <v>0</v>
      </c>
      <c r="BO11" s="10">
        <f t="shared" si="3"/>
        <v>0.92267577773781695</v>
      </c>
      <c r="BP11" s="10">
        <f t="shared" si="4"/>
        <v>2.2477971587843912E-2</v>
      </c>
      <c r="BQ11" s="29">
        <f t="shared" si="5"/>
        <v>5.3947131810825396E-4</v>
      </c>
      <c r="BR11" s="10">
        <f t="shared" si="6"/>
        <v>3.5776011061182167E-2</v>
      </c>
      <c r="BS11" s="10">
        <f t="shared" si="7"/>
        <v>0.38541306602143105</v>
      </c>
      <c r="BT11" s="10">
        <f t="shared" si="8"/>
        <v>0.44227445558244038</v>
      </c>
      <c r="BU11" s="10">
        <f t="shared" si="9"/>
        <v>2.7134462495679225E-2</v>
      </c>
      <c r="BW11" s="3"/>
      <c r="BZ11" s="3"/>
    </row>
    <row r="12" spans="1:94" x14ac:dyDescent="0.35">
      <c r="A12" t="s">
        <v>14</v>
      </c>
      <c r="B12">
        <v>5</v>
      </c>
      <c r="C12">
        <v>3</v>
      </c>
      <c r="D12">
        <v>0</v>
      </c>
      <c r="E12">
        <v>0</v>
      </c>
      <c r="F12">
        <v>5</v>
      </c>
      <c r="G12" s="3">
        <v>6179</v>
      </c>
      <c r="H12">
        <v>436</v>
      </c>
      <c r="I12">
        <v>5</v>
      </c>
      <c r="J12">
        <v>62</v>
      </c>
      <c r="K12">
        <v>40</v>
      </c>
      <c r="L12">
        <v>19</v>
      </c>
      <c r="M12" s="3">
        <v>5481</v>
      </c>
      <c r="N12">
        <v>424</v>
      </c>
      <c r="O12">
        <v>0</v>
      </c>
      <c r="P12">
        <v>299</v>
      </c>
      <c r="Q12">
        <v>34</v>
      </c>
      <c r="R12">
        <v>0</v>
      </c>
      <c r="S12">
        <v>47</v>
      </c>
      <c r="T12">
        <v>0</v>
      </c>
      <c r="U12">
        <v>62</v>
      </c>
      <c r="V12">
        <v>0</v>
      </c>
      <c r="W12">
        <v>9</v>
      </c>
      <c r="X12">
        <v>0</v>
      </c>
      <c r="Y12">
        <v>40</v>
      </c>
      <c r="Z12">
        <v>10</v>
      </c>
      <c r="AA12">
        <v>33</v>
      </c>
      <c r="AB12">
        <v>16</v>
      </c>
      <c r="AC12">
        <v>3</v>
      </c>
      <c r="AD12">
        <v>174</v>
      </c>
      <c r="AE12">
        <v>400</v>
      </c>
      <c r="AF12">
        <v>25</v>
      </c>
      <c r="AG12">
        <v>774</v>
      </c>
      <c r="AH12">
        <v>852</v>
      </c>
      <c r="AI12">
        <v>13</v>
      </c>
      <c r="AJ12">
        <v>16</v>
      </c>
      <c r="AK12">
        <v>184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 s="3">
        <v>4621</v>
      </c>
      <c r="AS12">
        <v>303</v>
      </c>
      <c r="AT12">
        <v>3</v>
      </c>
      <c r="AU12" s="3">
        <v>6120</v>
      </c>
      <c r="AV12">
        <v>580</v>
      </c>
      <c r="AW12">
        <v>6</v>
      </c>
      <c r="AX12">
        <v>630</v>
      </c>
      <c r="AY12">
        <v>0</v>
      </c>
      <c r="AZ12">
        <v>149</v>
      </c>
      <c r="BA12">
        <v>0</v>
      </c>
      <c r="BB12">
        <v>129</v>
      </c>
      <c r="BC12">
        <v>0</v>
      </c>
      <c r="BD12">
        <v>190</v>
      </c>
      <c r="BE12">
        <v>34</v>
      </c>
      <c r="BF12">
        <v>690</v>
      </c>
      <c r="BG12" s="3">
        <v>1367</v>
      </c>
      <c r="BH12">
        <v>403</v>
      </c>
      <c r="BI12">
        <v>583</v>
      </c>
      <c r="BJ12">
        <v>626</v>
      </c>
      <c r="BK12">
        <v>116</v>
      </c>
      <c r="BL12">
        <f t="shared" si="0"/>
        <v>13811</v>
      </c>
      <c r="BM12">
        <f t="shared" si="1"/>
        <v>18389</v>
      </c>
      <c r="BN12" s="29">
        <f t="shared" si="2"/>
        <v>5.7924842516834409E-4</v>
      </c>
      <c r="BO12" s="10">
        <f t="shared" si="3"/>
        <v>0.91564694808485991</v>
      </c>
      <c r="BP12" s="10">
        <f t="shared" si="4"/>
        <v>2.8600390992686988E-2</v>
      </c>
      <c r="BQ12" s="29">
        <f t="shared" si="5"/>
        <v>1.3757150097748173E-3</v>
      </c>
      <c r="BR12" s="10">
        <f t="shared" si="6"/>
        <v>8.9999456196639294E-2</v>
      </c>
      <c r="BS12" s="10">
        <f t="shared" si="7"/>
        <v>0.26793191581923975</v>
      </c>
      <c r="BT12" s="10">
        <f t="shared" si="8"/>
        <v>0.37277720376311924</v>
      </c>
      <c r="BU12" s="10">
        <f t="shared" si="9"/>
        <v>9.6253194844744136E-2</v>
      </c>
      <c r="BW12" s="3"/>
      <c r="BZ12" s="3"/>
      <c r="CL12" s="3"/>
      <c r="CO12" s="3"/>
    </row>
    <row r="13" spans="1:94" x14ac:dyDescent="0.35">
      <c r="A13" t="s">
        <v>15</v>
      </c>
      <c r="B13">
        <v>0</v>
      </c>
      <c r="C13">
        <v>8</v>
      </c>
      <c r="D13">
        <v>0</v>
      </c>
      <c r="E13">
        <v>0</v>
      </c>
      <c r="F13">
        <v>17</v>
      </c>
      <c r="G13" s="3">
        <v>6890</v>
      </c>
      <c r="H13">
        <v>557</v>
      </c>
      <c r="I13">
        <v>10</v>
      </c>
      <c r="J13">
        <v>57</v>
      </c>
      <c r="K13">
        <v>88</v>
      </c>
      <c r="L13">
        <v>15</v>
      </c>
      <c r="M13" s="3">
        <v>5968</v>
      </c>
      <c r="N13">
        <v>574</v>
      </c>
      <c r="O13">
        <v>8</v>
      </c>
      <c r="P13">
        <v>379</v>
      </c>
      <c r="Q13">
        <v>46</v>
      </c>
      <c r="R13">
        <v>6</v>
      </c>
      <c r="S13">
        <v>94</v>
      </c>
      <c r="T13">
        <v>0</v>
      </c>
      <c r="U13">
        <v>65</v>
      </c>
      <c r="V13">
        <v>0</v>
      </c>
      <c r="W13">
        <v>4</v>
      </c>
      <c r="X13">
        <v>0</v>
      </c>
      <c r="Y13">
        <v>82</v>
      </c>
      <c r="Z13">
        <v>5</v>
      </c>
      <c r="AA13">
        <v>90</v>
      </c>
      <c r="AB13">
        <v>32</v>
      </c>
      <c r="AC13">
        <v>9</v>
      </c>
      <c r="AD13">
        <v>204</v>
      </c>
      <c r="AE13">
        <v>532</v>
      </c>
      <c r="AF13">
        <v>24</v>
      </c>
      <c r="AG13">
        <v>874</v>
      </c>
      <c r="AH13" s="3">
        <v>1170</v>
      </c>
      <c r="AI13">
        <v>9</v>
      </c>
      <c r="AJ13">
        <v>22</v>
      </c>
      <c r="AK13">
        <v>242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 s="3">
        <v>4423</v>
      </c>
      <c r="AS13">
        <v>342</v>
      </c>
      <c r="AT13">
        <v>0</v>
      </c>
      <c r="AU13" s="3">
        <v>5504</v>
      </c>
      <c r="AV13">
        <v>680</v>
      </c>
      <c r="AW13">
        <v>4</v>
      </c>
      <c r="AX13">
        <v>800</v>
      </c>
      <c r="AY13">
        <v>0</v>
      </c>
      <c r="AZ13">
        <v>122</v>
      </c>
      <c r="BA13">
        <v>0</v>
      </c>
      <c r="BB13">
        <v>150</v>
      </c>
      <c r="BC13">
        <v>4</v>
      </c>
      <c r="BD13">
        <v>302</v>
      </c>
      <c r="BE13">
        <v>43</v>
      </c>
      <c r="BF13">
        <v>793</v>
      </c>
      <c r="BG13">
        <v>833</v>
      </c>
      <c r="BH13">
        <v>340</v>
      </c>
      <c r="BI13">
        <v>611</v>
      </c>
      <c r="BJ13">
        <v>715</v>
      </c>
      <c r="BK13">
        <v>347</v>
      </c>
      <c r="BL13">
        <f t="shared" si="0"/>
        <v>15764</v>
      </c>
      <c r="BM13">
        <f t="shared" si="1"/>
        <v>18330</v>
      </c>
      <c r="BN13" s="29">
        <f t="shared" si="2"/>
        <v>5.0748540979446844E-4</v>
      </c>
      <c r="BO13" s="10">
        <f t="shared" si="3"/>
        <v>0.89869322506977922</v>
      </c>
      <c r="BP13" s="10">
        <f t="shared" si="4"/>
        <v>3.1464095407257038E-2</v>
      </c>
      <c r="BQ13" s="29">
        <f t="shared" si="5"/>
        <v>2.6008627251966508E-3</v>
      </c>
      <c r="BR13" s="10">
        <f t="shared" si="6"/>
        <v>0.11320240043644299</v>
      </c>
      <c r="BS13" s="10">
        <f t="shared" si="7"/>
        <v>0.25995635570103653</v>
      </c>
      <c r="BT13" s="10">
        <f t="shared" si="8"/>
        <v>0.34424440807419532</v>
      </c>
      <c r="BU13" s="10">
        <f t="shared" si="9"/>
        <v>6.399345335515548E-2</v>
      </c>
      <c r="BW13" s="3"/>
      <c r="BZ13" s="3"/>
      <c r="CO13" s="3"/>
    </row>
    <row r="14" spans="1:94" x14ac:dyDescent="0.35">
      <c r="A14" t="s">
        <v>16</v>
      </c>
      <c r="B14">
        <v>4</v>
      </c>
      <c r="C14">
        <v>3</v>
      </c>
      <c r="D14">
        <v>0</v>
      </c>
      <c r="E14">
        <v>0</v>
      </c>
      <c r="F14">
        <v>4</v>
      </c>
      <c r="G14" s="3">
        <v>4795</v>
      </c>
      <c r="H14">
        <v>519</v>
      </c>
      <c r="I14">
        <v>13</v>
      </c>
      <c r="J14">
        <v>35</v>
      </c>
      <c r="K14">
        <v>28</v>
      </c>
      <c r="L14">
        <v>17</v>
      </c>
      <c r="M14" s="3">
        <v>4497</v>
      </c>
      <c r="N14">
        <v>486</v>
      </c>
      <c r="O14">
        <v>6</v>
      </c>
      <c r="P14">
        <v>335</v>
      </c>
      <c r="Q14">
        <v>51</v>
      </c>
      <c r="R14">
        <v>0</v>
      </c>
      <c r="S14">
        <v>29</v>
      </c>
      <c r="T14">
        <v>0</v>
      </c>
      <c r="U14">
        <v>45</v>
      </c>
      <c r="V14">
        <v>0</v>
      </c>
      <c r="W14">
        <v>0</v>
      </c>
      <c r="X14">
        <v>0</v>
      </c>
      <c r="Y14">
        <v>18</v>
      </c>
      <c r="Z14">
        <v>7</v>
      </c>
      <c r="AA14">
        <v>68</v>
      </c>
      <c r="AB14">
        <v>17</v>
      </c>
      <c r="AC14">
        <v>5</v>
      </c>
      <c r="AD14">
        <v>184</v>
      </c>
      <c r="AE14">
        <v>351</v>
      </c>
      <c r="AF14">
        <v>83</v>
      </c>
      <c r="AG14">
        <v>216</v>
      </c>
      <c r="AH14">
        <v>910</v>
      </c>
      <c r="AI14">
        <v>7</v>
      </c>
      <c r="AJ14">
        <v>8</v>
      </c>
      <c r="AK14">
        <v>130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 s="3">
        <v>2946</v>
      </c>
      <c r="AS14">
        <v>285</v>
      </c>
      <c r="AT14">
        <v>7</v>
      </c>
      <c r="AU14" s="3">
        <v>5011</v>
      </c>
      <c r="AV14">
        <v>700</v>
      </c>
      <c r="AW14">
        <v>6</v>
      </c>
      <c r="AX14">
        <v>299</v>
      </c>
      <c r="AY14">
        <v>0</v>
      </c>
      <c r="AZ14">
        <v>81</v>
      </c>
      <c r="BA14">
        <v>0</v>
      </c>
      <c r="BB14">
        <v>20</v>
      </c>
      <c r="BC14">
        <v>0</v>
      </c>
      <c r="BD14">
        <v>55</v>
      </c>
      <c r="BE14">
        <v>18</v>
      </c>
      <c r="BF14">
        <v>402</v>
      </c>
      <c r="BG14">
        <v>290</v>
      </c>
      <c r="BH14">
        <v>235</v>
      </c>
      <c r="BI14">
        <v>592</v>
      </c>
      <c r="BJ14">
        <v>397</v>
      </c>
      <c r="BK14">
        <v>157</v>
      </c>
      <c r="BL14">
        <f t="shared" si="0"/>
        <v>11600</v>
      </c>
      <c r="BM14">
        <f t="shared" si="1"/>
        <v>12772</v>
      </c>
      <c r="BN14" s="29">
        <f t="shared" si="2"/>
        <v>6.03448275862069E-4</v>
      </c>
      <c r="BO14" s="10">
        <f t="shared" si="3"/>
        <v>0.89620689655172414</v>
      </c>
      <c r="BP14" s="10">
        <f t="shared" si="4"/>
        <v>3.7155172413793104E-2</v>
      </c>
      <c r="BQ14" s="29">
        <f t="shared" si="5"/>
        <v>1.8965517241379311E-3</v>
      </c>
      <c r="BR14" s="10">
        <f t="shared" si="6"/>
        <v>8.933604760413405E-2</v>
      </c>
      <c r="BS14" s="10">
        <f t="shared" si="7"/>
        <v>0.25352333228938301</v>
      </c>
      <c r="BT14" s="10">
        <f t="shared" si="8"/>
        <v>0.45396179141872844</v>
      </c>
      <c r="BU14" s="10">
        <f t="shared" si="9"/>
        <v>4.1105543376135298E-2</v>
      </c>
      <c r="BW14" s="3"/>
      <c r="BZ14" s="3"/>
    </row>
    <row r="15" spans="1:94" ht="15" x14ac:dyDescent="0.4">
      <c r="A15" s="11" t="s">
        <v>567</v>
      </c>
      <c r="B15">
        <v>13</v>
      </c>
      <c r="C15">
        <v>60</v>
      </c>
      <c r="D15">
        <v>0</v>
      </c>
      <c r="E15">
        <v>0</v>
      </c>
      <c r="F15">
        <v>83</v>
      </c>
      <c r="G15" s="3">
        <v>51958</v>
      </c>
      <c r="H15" s="3">
        <v>4322</v>
      </c>
      <c r="I15">
        <v>104</v>
      </c>
      <c r="J15">
        <v>416</v>
      </c>
      <c r="K15">
        <v>438</v>
      </c>
      <c r="L15">
        <v>141</v>
      </c>
      <c r="M15" s="3">
        <v>46963</v>
      </c>
      <c r="N15" s="3">
        <v>4510</v>
      </c>
      <c r="O15">
        <v>79</v>
      </c>
      <c r="P15" s="3">
        <v>3106</v>
      </c>
      <c r="Q15">
        <v>438</v>
      </c>
      <c r="R15">
        <v>12</v>
      </c>
      <c r="S15">
        <v>475</v>
      </c>
      <c r="T15">
        <v>0</v>
      </c>
      <c r="U15">
        <v>420</v>
      </c>
      <c r="V15">
        <v>0</v>
      </c>
      <c r="W15">
        <v>44</v>
      </c>
      <c r="X15">
        <v>3</v>
      </c>
      <c r="Y15">
        <v>359</v>
      </c>
      <c r="Z15">
        <v>50</v>
      </c>
      <c r="AA15">
        <v>464</v>
      </c>
      <c r="AB15">
        <v>126</v>
      </c>
      <c r="AC15">
        <v>68</v>
      </c>
      <c r="AD15" s="3">
        <v>1654</v>
      </c>
      <c r="AE15" s="3">
        <v>4181</v>
      </c>
      <c r="AF15">
        <v>657</v>
      </c>
      <c r="AG15" s="3">
        <v>5119</v>
      </c>
      <c r="AH15" s="3">
        <v>8492</v>
      </c>
      <c r="AI15">
        <v>70</v>
      </c>
      <c r="AJ15">
        <v>120</v>
      </c>
      <c r="AK15" s="3">
        <v>1817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 s="3">
        <v>34872</v>
      </c>
      <c r="AS15" s="3">
        <v>2676</v>
      </c>
      <c r="AT15">
        <v>25</v>
      </c>
      <c r="AU15" s="3">
        <v>47957</v>
      </c>
      <c r="AV15" s="3">
        <v>5808</v>
      </c>
      <c r="AW15">
        <v>33</v>
      </c>
      <c r="AX15" s="3">
        <v>4371</v>
      </c>
      <c r="AY15">
        <v>0</v>
      </c>
      <c r="AZ15" s="3">
        <v>1029</v>
      </c>
      <c r="BA15">
        <v>0</v>
      </c>
      <c r="BB15">
        <v>587</v>
      </c>
      <c r="BC15">
        <v>9</v>
      </c>
      <c r="BD15" s="3">
        <v>1398</v>
      </c>
      <c r="BE15">
        <v>230</v>
      </c>
      <c r="BF15" s="3">
        <v>4472</v>
      </c>
      <c r="BG15" s="3">
        <v>5099</v>
      </c>
      <c r="BH15" s="3">
        <v>2494</v>
      </c>
      <c r="BI15" s="3">
        <v>5091</v>
      </c>
      <c r="BJ15" s="3">
        <v>5135</v>
      </c>
      <c r="BK15" s="3">
        <v>2518</v>
      </c>
      <c r="BL15">
        <f t="shared" si="0"/>
        <v>121144</v>
      </c>
      <c r="BM15">
        <f t="shared" si="1"/>
        <v>139422</v>
      </c>
      <c r="BN15" s="29">
        <f t="shared" si="2"/>
        <v>6.0258865482401113E-4</v>
      </c>
      <c r="BO15" s="10">
        <f t="shared" si="3"/>
        <v>0.89918609258403226</v>
      </c>
      <c r="BP15" s="10">
        <f t="shared" si="4"/>
        <v>3.2820445090140662E-2</v>
      </c>
      <c r="BQ15" s="29">
        <f t="shared" si="5"/>
        <v>1.6013999867925774E-3</v>
      </c>
      <c r="BR15" s="10">
        <f t="shared" si="6"/>
        <v>9.8987247349772628E-2</v>
      </c>
      <c r="BS15" s="10">
        <f t="shared" si="7"/>
        <v>0.26949118503536029</v>
      </c>
      <c r="BT15" s="10">
        <f t="shared" si="8"/>
        <v>0.39324496851286023</v>
      </c>
      <c r="BU15" s="10">
        <f t="shared" si="9"/>
        <v>5.4460558591900847E-2</v>
      </c>
      <c r="BW15" s="3"/>
      <c r="BX15" s="3"/>
      <c r="BZ15" s="3"/>
      <c r="CA15" s="3"/>
      <c r="CC15" s="3"/>
      <c r="CE15" s="3"/>
      <c r="CI15" s="3"/>
      <c r="CK15" s="3"/>
      <c r="CL15" s="3"/>
      <c r="CM15" s="3"/>
      <c r="CN15" s="3"/>
      <c r="CO15" s="3"/>
      <c r="CP15" s="3"/>
    </row>
    <row r="16" spans="1:94" x14ac:dyDescent="0.35">
      <c r="A16" t="s">
        <v>637</v>
      </c>
      <c r="B16">
        <v>0</v>
      </c>
      <c r="C16">
        <v>0</v>
      </c>
      <c r="D16">
        <v>0</v>
      </c>
      <c r="E16">
        <v>0</v>
      </c>
      <c r="F16">
        <v>0</v>
      </c>
      <c r="G16">
        <v>123</v>
      </c>
      <c r="H16">
        <v>9</v>
      </c>
      <c r="I16">
        <v>0</v>
      </c>
      <c r="J16">
        <v>0</v>
      </c>
      <c r="K16">
        <v>0</v>
      </c>
      <c r="L16">
        <v>0</v>
      </c>
      <c r="M16">
        <v>119</v>
      </c>
      <c r="N16">
        <v>8</v>
      </c>
      <c r="O16">
        <v>0</v>
      </c>
      <c r="P16">
        <v>17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3</v>
      </c>
      <c r="Z16">
        <v>0</v>
      </c>
      <c r="AA16">
        <v>0</v>
      </c>
      <c r="AB16">
        <v>0</v>
      </c>
      <c r="AC16">
        <v>0</v>
      </c>
      <c r="AD16">
        <v>9</v>
      </c>
      <c r="AE16">
        <v>6</v>
      </c>
      <c r="AF16">
        <v>0</v>
      </c>
      <c r="AG16">
        <v>19</v>
      </c>
      <c r="AH16">
        <v>63</v>
      </c>
      <c r="AI16">
        <v>0</v>
      </c>
      <c r="AJ16">
        <v>0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95</v>
      </c>
      <c r="AS16">
        <v>14</v>
      </c>
      <c r="AT16">
        <v>0</v>
      </c>
      <c r="AU16">
        <v>124</v>
      </c>
      <c r="AV16">
        <v>11</v>
      </c>
      <c r="AW16">
        <v>0</v>
      </c>
      <c r="AX16">
        <v>7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3</v>
      </c>
      <c r="BE16">
        <v>0</v>
      </c>
      <c r="BF16">
        <v>8</v>
      </c>
      <c r="BG16">
        <v>23</v>
      </c>
      <c r="BH16">
        <v>4</v>
      </c>
      <c r="BI16">
        <v>19</v>
      </c>
      <c r="BJ16">
        <v>15</v>
      </c>
      <c r="BK16">
        <v>0</v>
      </c>
      <c r="BL16">
        <f t="shared" ref="BL16" si="10">SUM(B16:AF16)</f>
        <v>294</v>
      </c>
      <c r="BM16">
        <f t="shared" ref="BM16" si="11">SUM(AG16:BK16)</f>
        <v>409</v>
      </c>
      <c r="BN16" s="29">
        <f t="shared" ref="BN16" si="12">(SUM(B16:E16))/BL16</f>
        <v>0</v>
      </c>
      <c r="BO16" s="10">
        <f t="shared" ref="BO16" si="13">(SUM(G16:O16))/BL16</f>
        <v>0.88095238095238093</v>
      </c>
      <c r="BP16" s="10">
        <f t="shared" ref="BP16" si="14">(SUM(P16:R16,U16))/BL16</f>
        <v>5.7823129251700682E-2</v>
      </c>
      <c r="BQ16" s="29">
        <f t="shared" ref="BQ16" si="15">(SUM(AB16:AC16))/BL16</f>
        <v>0</v>
      </c>
      <c r="BR16" s="10">
        <f t="shared" ref="BR16" si="16">(SUM(AG16:AJ16))/BM16</f>
        <v>0.20048899755501223</v>
      </c>
      <c r="BS16" s="10">
        <f t="shared" ref="BS16" si="17">(SUM(AL16:AT16))/BM16</f>
        <v>0.2665036674816626</v>
      </c>
      <c r="BT16" s="10">
        <f t="shared" ref="BT16" si="18">(SUM(AU16:AW16,AZ16))/BM16</f>
        <v>0.33007334963325186</v>
      </c>
      <c r="BU16" s="10">
        <f t="shared" ref="BU16" si="19">(SUM(BG16:BH16))/BM16</f>
        <v>6.6014669926650366E-2</v>
      </c>
    </row>
    <row r="18" spans="1:34" x14ac:dyDescent="0.35">
      <c r="A18" s="4" t="s">
        <v>457</v>
      </c>
    </row>
    <row r="19" spans="1:34" x14ac:dyDescent="0.35">
      <c r="B19" s="2" t="s">
        <v>6</v>
      </c>
      <c r="M19" t="s">
        <v>4</v>
      </c>
    </row>
    <row r="20" spans="1:34" x14ac:dyDescent="0.35">
      <c r="B20" t="s">
        <v>448</v>
      </c>
      <c r="C20" t="s">
        <v>449</v>
      </c>
      <c r="D20" t="s">
        <v>450</v>
      </c>
      <c r="E20" t="s">
        <v>451</v>
      </c>
      <c r="F20" t="s">
        <v>452</v>
      </c>
      <c r="G20" t="s">
        <v>453</v>
      </c>
      <c r="H20" t="s">
        <v>454</v>
      </c>
      <c r="I20" t="s">
        <v>455</v>
      </c>
      <c r="J20" t="s">
        <v>456</v>
      </c>
      <c r="K20" t="s">
        <v>28</v>
      </c>
      <c r="L20" t="s">
        <v>29</v>
      </c>
      <c r="M20" t="s">
        <v>448</v>
      </c>
      <c r="N20" t="s">
        <v>449</v>
      </c>
      <c r="O20" t="s">
        <v>450</v>
      </c>
      <c r="P20" t="s">
        <v>451</v>
      </c>
      <c r="Q20" t="s">
        <v>452</v>
      </c>
      <c r="R20" t="s">
        <v>453</v>
      </c>
      <c r="S20" t="s">
        <v>454</v>
      </c>
      <c r="T20" t="s">
        <v>455</v>
      </c>
      <c r="U20" t="s">
        <v>456</v>
      </c>
      <c r="V20" t="s">
        <v>28</v>
      </c>
      <c r="W20" t="s">
        <v>29</v>
      </c>
      <c r="X20" s="2" t="s">
        <v>6</v>
      </c>
      <c r="Y20" t="s">
        <v>4</v>
      </c>
      <c r="Z20" s="2" t="s">
        <v>6</v>
      </c>
      <c r="AA20" t="s">
        <v>4</v>
      </c>
    </row>
    <row r="21" spans="1:34" x14ac:dyDescent="0.35">
      <c r="A21" t="s">
        <v>7</v>
      </c>
      <c r="B21" s="3">
        <v>1641</v>
      </c>
      <c r="C21">
        <v>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242</v>
      </c>
      <c r="L21" s="3">
        <v>5785</v>
      </c>
      <c r="M21" s="3">
        <v>3292</v>
      </c>
      <c r="N21">
        <v>328</v>
      </c>
      <c r="O21">
        <v>120</v>
      </c>
      <c r="P21">
        <v>23</v>
      </c>
      <c r="Q21">
        <v>3</v>
      </c>
      <c r="R21">
        <v>0</v>
      </c>
      <c r="S21">
        <v>0</v>
      </c>
      <c r="T21">
        <v>0</v>
      </c>
      <c r="U21">
        <v>0</v>
      </c>
      <c r="V21">
        <v>385</v>
      </c>
      <c r="W21" s="3">
        <v>4163</v>
      </c>
      <c r="X21" s="3">
        <f>SUM(B21:L21)</f>
        <v>7672</v>
      </c>
      <c r="Y21" s="3">
        <f>SUM(M21:W21)</f>
        <v>8314</v>
      </c>
      <c r="Z21" s="29">
        <f>(SUM(C21:J21))/X21</f>
        <v>5.2137643378519292E-4</v>
      </c>
      <c r="AA21" s="10">
        <f>(SUM(N21:U21))/Y21</f>
        <v>5.7012268462833776E-2</v>
      </c>
      <c r="AH21" s="3"/>
    </row>
    <row r="22" spans="1:34" x14ac:dyDescent="0.35">
      <c r="A22" t="s">
        <v>8</v>
      </c>
      <c r="B22" s="3">
        <v>5283</v>
      </c>
      <c r="C22">
        <v>16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778</v>
      </c>
      <c r="L22" s="3">
        <v>18683</v>
      </c>
      <c r="M22" s="3">
        <v>11379</v>
      </c>
      <c r="N22">
        <v>864</v>
      </c>
      <c r="O22">
        <v>284</v>
      </c>
      <c r="P22">
        <v>81</v>
      </c>
      <c r="Q22">
        <v>14</v>
      </c>
      <c r="R22">
        <v>0</v>
      </c>
      <c r="S22">
        <v>0</v>
      </c>
      <c r="T22">
        <v>0</v>
      </c>
      <c r="U22">
        <v>5</v>
      </c>
      <c r="V22" s="3">
        <v>1332</v>
      </c>
      <c r="W22" s="3">
        <v>15105</v>
      </c>
      <c r="X22" s="3">
        <f t="shared" ref="X22:X31" si="20">SUM(B22:L22)</f>
        <v>24760</v>
      </c>
      <c r="Y22" s="3">
        <f t="shared" ref="Y22:Y31" si="21">SUM(M22:W22)</f>
        <v>29064</v>
      </c>
      <c r="Z22" s="29">
        <f t="shared" ref="Z22:Z31" si="22">(SUM(C22:J22))/X22</f>
        <v>6.462035541195477E-4</v>
      </c>
      <c r="AA22" s="10">
        <f t="shared" ref="AA22:AA31" si="23">(SUM(N22:U22))/Y22</f>
        <v>4.2939719240297276E-2</v>
      </c>
      <c r="AG22" s="3"/>
      <c r="AH22" s="3"/>
    </row>
    <row r="23" spans="1:34" x14ac:dyDescent="0.35">
      <c r="A23" t="s">
        <v>9</v>
      </c>
      <c r="B23" s="3">
        <v>3474</v>
      </c>
      <c r="C23">
        <v>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660</v>
      </c>
      <c r="L23" s="3">
        <v>12198</v>
      </c>
      <c r="M23" s="3">
        <v>7928</v>
      </c>
      <c r="N23">
        <v>600</v>
      </c>
      <c r="O23">
        <v>235</v>
      </c>
      <c r="P23">
        <v>42</v>
      </c>
      <c r="Q23">
        <v>0</v>
      </c>
      <c r="R23">
        <v>0</v>
      </c>
      <c r="S23">
        <v>0</v>
      </c>
      <c r="T23">
        <v>0</v>
      </c>
      <c r="U23">
        <v>3</v>
      </c>
      <c r="V23" s="3">
        <v>1050</v>
      </c>
      <c r="W23" s="3">
        <v>10419</v>
      </c>
      <c r="X23" s="3">
        <f t="shared" si="20"/>
        <v>16335</v>
      </c>
      <c r="Y23" s="3">
        <f t="shared" si="21"/>
        <v>20277</v>
      </c>
      <c r="Z23" s="29">
        <f t="shared" si="22"/>
        <v>1.8365472910927456E-4</v>
      </c>
      <c r="AA23" s="10">
        <f t="shared" si="23"/>
        <v>4.3398924890269766E-2</v>
      </c>
      <c r="AG23" s="3"/>
      <c r="AH23" s="3"/>
    </row>
    <row r="24" spans="1:34" x14ac:dyDescent="0.35">
      <c r="A24" t="s">
        <v>10</v>
      </c>
      <c r="B24" s="3">
        <v>2256</v>
      </c>
      <c r="C24">
        <v>4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369</v>
      </c>
      <c r="L24" s="3">
        <v>8621</v>
      </c>
      <c r="M24" s="3">
        <v>4689</v>
      </c>
      <c r="N24">
        <v>377</v>
      </c>
      <c r="O24">
        <v>153</v>
      </c>
      <c r="P24">
        <v>28</v>
      </c>
      <c r="Q24">
        <v>3</v>
      </c>
      <c r="R24">
        <v>0</v>
      </c>
      <c r="S24">
        <v>0</v>
      </c>
      <c r="T24">
        <v>0</v>
      </c>
      <c r="U24">
        <v>0</v>
      </c>
      <c r="V24">
        <v>719</v>
      </c>
      <c r="W24" s="3">
        <v>6116</v>
      </c>
      <c r="X24" s="3">
        <f t="shared" si="20"/>
        <v>11250</v>
      </c>
      <c r="Y24" s="3">
        <f t="shared" si="21"/>
        <v>12085</v>
      </c>
      <c r="Z24" s="29">
        <f t="shared" si="22"/>
        <v>3.5555555555555557E-4</v>
      </c>
      <c r="AA24" s="10">
        <f t="shared" si="23"/>
        <v>4.642118328506413E-2</v>
      </c>
      <c r="AG24" s="3"/>
      <c r="AH24" s="3"/>
    </row>
    <row r="25" spans="1:34" x14ac:dyDescent="0.35">
      <c r="A25" t="s">
        <v>11</v>
      </c>
      <c r="B25">
        <v>712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151</v>
      </c>
      <c r="L25" s="3">
        <v>2561</v>
      </c>
      <c r="M25" s="3">
        <v>1303</v>
      </c>
      <c r="N25">
        <v>115</v>
      </c>
      <c r="O25">
        <v>55</v>
      </c>
      <c r="P25">
        <v>12</v>
      </c>
      <c r="Q25">
        <v>0</v>
      </c>
      <c r="R25">
        <v>0</v>
      </c>
      <c r="S25">
        <v>0</v>
      </c>
      <c r="T25">
        <v>0</v>
      </c>
      <c r="U25">
        <v>0</v>
      </c>
      <c r="V25">
        <v>167</v>
      </c>
      <c r="W25" s="3">
        <v>1910</v>
      </c>
      <c r="X25" s="3">
        <f t="shared" si="20"/>
        <v>3424</v>
      </c>
      <c r="Y25" s="3">
        <f t="shared" si="21"/>
        <v>3562</v>
      </c>
      <c r="Z25" s="29">
        <f t="shared" si="22"/>
        <v>0</v>
      </c>
      <c r="AA25" s="10">
        <f t="shared" si="23"/>
        <v>5.1094890510948905E-2</v>
      </c>
      <c r="AH25" s="3"/>
    </row>
    <row r="26" spans="1:34" x14ac:dyDescent="0.35">
      <c r="A26" t="s">
        <v>12</v>
      </c>
      <c r="B26" s="3">
        <v>2353</v>
      </c>
      <c r="C26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326</v>
      </c>
      <c r="L26" s="3">
        <v>8267</v>
      </c>
      <c r="M26" s="3">
        <v>4197</v>
      </c>
      <c r="N26">
        <v>282</v>
      </c>
      <c r="O26">
        <v>87</v>
      </c>
      <c r="P26">
        <v>15</v>
      </c>
      <c r="Q26">
        <v>0</v>
      </c>
      <c r="R26">
        <v>0</v>
      </c>
      <c r="S26">
        <v>0</v>
      </c>
      <c r="T26">
        <v>0</v>
      </c>
      <c r="U26">
        <v>0</v>
      </c>
      <c r="V26">
        <v>451</v>
      </c>
      <c r="W26" s="3">
        <v>5810</v>
      </c>
      <c r="X26" s="3">
        <f t="shared" si="20"/>
        <v>10954</v>
      </c>
      <c r="Y26" s="3">
        <f t="shared" si="21"/>
        <v>10842</v>
      </c>
      <c r="Z26" s="29">
        <f t="shared" si="22"/>
        <v>7.3032682125251055E-4</v>
      </c>
      <c r="AA26" s="10">
        <f t="shared" si="23"/>
        <v>3.5417819590481459E-2</v>
      </c>
      <c r="AH26" s="3"/>
    </row>
    <row r="27" spans="1:34" x14ac:dyDescent="0.35">
      <c r="A27" t="s">
        <v>13</v>
      </c>
      <c r="B27" s="3">
        <v>1192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144</v>
      </c>
      <c r="L27" s="3">
        <v>4223</v>
      </c>
      <c r="M27" s="3">
        <v>2530</v>
      </c>
      <c r="N27">
        <v>31</v>
      </c>
      <c r="O27">
        <v>3</v>
      </c>
      <c r="P27">
        <v>7</v>
      </c>
      <c r="Q27">
        <v>4</v>
      </c>
      <c r="R27">
        <v>0</v>
      </c>
      <c r="S27">
        <v>0</v>
      </c>
      <c r="T27">
        <v>0</v>
      </c>
      <c r="U27">
        <v>0</v>
      </c>
      <c r="V27">
        <v>186</v>
      </c>
      <c r="W27" s="3">
        <v>3018</v>
      </c>
      <c r="X27" s="3">
        <f t="shared" si="20"/>
        <v>5559</v>
      </c>
      <c r="Y27" s="3">
        <f t="shared" si="21"/>
        <v>5779</v>
      </c>
      <c r="Z27" s="29">
        <f t="shared" si="22"/>
        <v>0</v>
      </c>
      <c r="AA27" s="10">
        <f t="shared" si="23"/>
        <v>7.7868143277383629E-3</v>
      </c>
      <c r="AH27" s="3"/>
    </row>
    <row r="28" spans="1:34" x14ac:dyDescent="0.35">
      <c r="A28" t="s">
        <v>14</v>
      </c>
      <c r="B28" s="3">
        <v>2838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442</v>
      </c>
      <c r="L28" s="3">
        <v>10535</v>
      </c>
      <c r="M28" s="3">
        <v>7579</v>
      </c>
      <c r="N28">
        <v>447</v>
      </c>
      <c r="O28">
        <v>153</v>
      </c>
      <c r="P28">
        <v>26</v>
      </c>
      <c r="Q28">
        <v>3</v>
      </c>
      <c r="R28">
        <v>3</v>
      </c>
      <c r="S28">
        <v>0</v>
      </c>
      <c r="T28">
        <v>0</v>
      </c>
      <c r="U28">
        <v>0</v>
      </c>
      <c r="V28">
        <v>851</v>
      </c>
      <c r="W28" s="3">
        <v>9309</v>
      </c>
      <c r="X28" s="3">
        <f t="shared" si="20"/>
        <v>13815</v>
      </c>
      <c r="Y28" s="3">
        <f t="shared" si="21"/>
        <v>18371</v>
      </c>
      <c r="Z28" s="29">
        <f t="shared" si="22"/>
        <v>0</v>
      </c>
      <c r="AA28" s="10">
        <f t="shared" si="23"/>
        <v>3.4402046704044419E-2</v>
      </c>
      <c r="AG28" s="3"/>
      <c r="AH28" s="3"/>
    </row>
    <row r="29" spans="1:34" x14ac:dyDescent="0.35">
      <c r="A29" t="s">
        <v>15</v>
      </c>
      <c r="B29" s="3">
        <v>3364</v>
      </c>
      <c r="C29">
        <v>6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541</v>
      </c>
      <c r="L29" s="3">
        <v>11852</v>
      </c>
      <c r="M29" s="3">
        <v>7037</v>
      </c>
      <c r="N29">
        <v>534</v>
      </c>
      <c r="O29">
        <v>224</v>
      </c>
      <c r="P29">
        <v>38</v>
      </c>
      <c r="Q29">
        <v>16</v>
      </c>
      <c r="R29">
        <v>0</v>
      </c>
      <c r="S29">
        <v>0</v>
      </c>
      <c r="T29">
        <v>0</v>
      </c>
      <c r="U29">
        <v>0</v>
      </c>
      <c r="V29">
        <v>950</v>
      </c>
      <c r="W29" s="3">
        <v>9528</v>
      </c>
      <c r="X29" s="3">
        <f t="shared" si="20"/>
        <v>15763</v>
      </c>
      <c r="Y29" s="3">
        <f t="shared" si="21"/>
        <v>18327</v>
      </c>
      <c r="Z29" s="29">
        <f t="shared" si="22"/>
        <v>3.8063820338768E-4</v>
      </c>
      <c r="AA29" s="10">
        <f t="shared" si="23"/>
        <v>4.4306214874229276E-2</v>
      </c>
      <c r="AG29" s="3"/>
      <c r="AH29" s="3"/>
    </row>
    <row r="30" spans="1:34" x14ac:dyDescent="0.35">
      <c r="A30" t="s">
        <v>16</v>
      </c>
      <c r="B30" s="3">
        <v>2604</v>
      </c>
      <c r="C30">
        <v>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317</v>
      </c>
      <c r="L30" s="3">
        <v>8685</v>
      </c>
      <c r="M30" s="3">
        <v>5322</v>
      </c>
      <c r="N30">
        <v>252</v>
      </c>
      <c r="O30">
        <v>81</v>
      </c>
      <c r="P30">
        <v>15</v>
      </c>
      <c r="Q30">
        <v>3</v>
      </c>
      <c r="R30">
        <v>0</v>
      </c>
      <c r="S30">
        <v>0</v>
      </c>
      <c r="T30">
        <v>0</v>
      </c>
      <c r="U30">
        <v>0</v>
      </c>
      <c r="V30">
        <v>477</v>
      </c>
      <c r="W30" s="3">
        <v>6634</v>
      </c>
      <c r="X30" s="3">
        <f t="shared" si="20"/>
        <v>11609</v>
      </c>
      <c r="Y30" s="3">
        <f t="shared" si="21"/>
        <v>12784</v>
      </c>
      <c r="Z30" s="29">
        <f t="shared" si="22"/>
        <v>2.5842019123094149E-4</v>
      </c>
      <c r="AA30" s="10">
        <f t="shared" si="23"/>
        <v>2.7456195244055071E-2</v>
      </c>
      <c r="AH30" s="3"/>
    </row>
    <row r="31" spans="1:34" ht="15" x14ac:dyDescent="0.4">
      <c r="A31" s="11" t="s">
        <v>567</v>
      </c>
      <c r="B31" s="3">
        <v>25712</v>
      </c>
      <c r="C31">
        <v>50</v>
      </c>
      <c r="D31">
        <v>3</v>
      </c>
      <c r="E31">
        <v>0</v>
      </c>
      <c r="F31">
        <v>0</v>
      </c>
      <c r="G31">
        <v>4</v>
      </c>
      <c r="H31">
        <v>0</v>
      </c>
      <c r="I31">
        <v>0</v>
      </c>
      <c r="J31">
        <v>4</v>
      </c>
      <c r="K31" s="3">
        <v>3962</v>
      </c>
      <c r="L31" s="3">
        <v>91402</v>
      </c>
      <c r="M31" s="3">
        <v>55262</v>
      </c>
      <c r="N31" s="3">
        <v>3834</v>
      </c>
      <c r="O31" s="3">
        <v>1392</v>
      </c>
      <c r="P31">
        <v>282</v>
      </c>
      <c r="Q31">
        <v>45</v>
      </c>
      <c r="R31">
        <v>7</v>
      </c>
      <c r="S31">
        <v>4</v>
      </c>
      <c r="T31">
        <v>5</v>
      </c>
      <c r="U31">
        <v>7</v>
      </c>
      <c r="V31" s="3">
        <v>6562</v>
      </c>
      <c r="W31" s="3">
        <v>72024</v>
      </c>
      <c r="X31" s="3">
        <f t="shared" si="20"/>
        <v>121137</v>
      </c>
      <c r="Y31" s="3">
        <f t="shared" si="21"/>
        <v>139424</v>
      </c>
      <c r="Z31" s="29">
        <f t="shared" si="22"/>
        <v>5.0356208260069174E-4</v>
      </c>
      <c r="AA31" s="10">
        <f t="shared" si="23"/>
        <v>3.999311452834519E-2</v>
      </c>
      <c r="AG31" s="3"/>
      <c r="AH31" s="3"/>
    </row>
    <row r="32" spans="1:34" x14ac:dyDescent="0.35">
      <c r="A32" t="s">
        <v>637</v>
      </c>
      <c r="B32">
        <v>64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8</v>
      </c>
      <c r="L32">
        <v>228</v>
      </c>
      <c r="M32">
        <v>170</v>
      </c>
      <c r="N32">
        <v>16</v>
      </c>
      <c r="O32">
        <v>10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17</v>
      </c>
      <c r="W32">
        <v>200</v>
      </c>
      <c r="X32" s="3">
        <f t="shared" ref="X32" si="24">SUM(B32:L32)</f>
        <v>300</v>
      </c>
      <c r="Y32" s="3">
        <f t="shared" ref="Y32" si="25">SUM(M32:W32)</f>
        <v>413</v>
      </c>
      <c r="Z32" s="29">
        <f t="shared" ref="Z32" si="26">(SUM(C32:J32))/X32</f>
        <v>0</v>
      </c>
      <c r="AA32" s="10">
        <f t="shared" ref="AA32" si="27">(SUM(N32:U32))/Y32</f>
        <v>6.2953995157384993E-2</v>
      </c>
    </row>
    <row r="40" spans="1:4" x14ac:dyDescent="0.35">
      <c r="B40" s="1"/>
      <c r="D40" s="1"/>
    </row>
    <row r="44" spans="1:4" x14ac:dyDescent="0.35">
      <c r="A44" s="1"/>
      <c r="C44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P16" sqref="P16"/>
    </sheetView>
  </sheetViews>
  <sheetFormatPr defaultRowHeight="14.5" x14ac:dyDescent="0.35"/>
  <sheetData>
    <row r="2" spans="1:13" x14ac:dyDescent="0.35">
      <c r="A2" s="4" t="s">
        <v>415</v>
      </c>
    </row>
    <row r="3" spans="1:13" x14ac:dyDescent="0.35">
      <c r="B3" s="2" t="s">
        <v>6</v>
      </c>
      <c r="F3" t="s">
        <v>4</v>
      </c>
    </row>
    <row r="4" spans="1:13" x14ac:dyDescent="0.35">
      <c r="B4" t="s">
        <v>413</v>
      </c>
      <c r="C4" t="s">
        <v>414</v>
      </c>
      <c r="D4" t="s">
        <v>28</v>
      </c>
      <c r="E4" t="s">
        <v>29</v>
      </c>
      <c r="F4" t="s">
        <v>413</v>
      </c>
      <c r="G4" t="s">
        <v>414</v>
      </c>
      <c r="H4" t="s">
        <v>28</v>
      </c>
      <c r="I4" t="s">
        <v>29</v>
      </c>
      <c r="J4" s="2" t="s">
        <v>6</v>
      </c>
      <c r="K4" t="s">
        <v>4</v>
      </c>
    </row>
    <row r="5" spans="1:13" x14ac:dyDescent="0.35">
      <c r="A5" t="s">
        <v>7</v>
      </c>
      <c r="B5" s="3">
        <v>3268</v>
      </c>
      <c r="C5">
        <v>146</v>
      </c>
      <c r="D5">
        <v>444</v>
      </c>
      <c r="E5" s="3">
        <v>3820</v>
      </c>
      <c r="F5" s="3">
        <v>7253</v>
      </c>
      <c r="G5">
        <v>463</v>
      </c>
      <c r="H5">
        <v>596</v>
      </c>
      <c r="I5">
        <v>0</v>
      </c>
      <c r="J5" s="3">
        <f>SUM(B5:E5)</f>
        <v>7678</v>
      </c>
      <c r="K5" s="3">
        <f>SUM(F5:I5)</f>
        <v>8312</v>
      </c>
      <c r="L5" s="10">
        <f>C5/J5</f>
        <v>1.9015368585569157E-2</v>
      </c>
      <c r="M5" s="10">
        <f>G5/K5</f>
        <v>5.5702598652550527E-2</v>
      </c>
    </row>
    <row r="6" spans="1:13" x14ac:dyDescent="0.35">
      <c r="A6" t="s">
        <v>8</v>
      </c>
      <c r="B6" s="3">
        <v>10957</v>
      </c>
      <c r="C6">
        <v>550</v>
      </c>
      <c r="D6" s="3">
        <v>1050</v>
      </c>
      <c r="E6" s="3">
        <v>12200</v>
      </c>
      <c r="F6" s="3">
        <v>25194</v>
      </c>
      <c r="G6" s="3">
        <v>1877</v>
      </c>
      <c r="H6" s="3">
        <v>1998</v>
      </c>
      <c r="I6">
        <v>0</v>
      </c>
      <c r="J6" s="3">
        <f t="shared" ref="J6:J15" si="0">SUM(B6:E6)</f>
        <v>24757</v>
      </c>
      <c r="K6" s="3">
        <f t="shared" ref="K6:K15" si="1">SUM(F6:I6)</f>
        <v>29069</v>
      </c>
      <c r="L6" s="10">
        <f t="shared" ref="L6:L15" si="2">C6/J6</f>
        <v>2.2215938926364261E-2</v>
      </c>
      <c r="M6" s="10">
        <f t="shared" ref="M6:M15" si="3">G6/K6</f>
        <v>6.4570504661323053E-2</v>
      </c>
    </row>
    <row r="7" spans="1:13" x14ac:dyDescent="0.35">
      <c r="A7" t="s">
        <v>9</v>
      </c>
      <c r="B7" s="3">
        <v>7051</v>
      </c>
      <c r="C7">
        <v>394</v>
      </c>
      <c r="D7">
        <v>854</v>
      </c>
      <c r="E7" s="3">
        <v>8036</v>
      </c>
      <c r="F7" s="3">
        <v>17141</v>
      </c>
      <c r="G7" s="3">
        <v>1581</v>
      </c>
      <c r="H7" s="3">
        <v>1561</v>
      </c>
      <c r="I7">
        <v>0</v>
      </c>
      <c r="J7" s="3">
        <f t="shared" si="0"/>
        <v>16335</v>
      </c>
      <c r="K7" s="3">
        <f t="shared" si="1"/>
        <v>20283</v>
      </c>
      <c r="L7" s="10">
        <f t="shared" si="2"/>
        <v>2.4119987756351394E-2</v>
      </c>
      <c r="M7" s="10">
        <f t="shared" si="3"/>
        <v>7.794704925306907E-2</v>
      </c>
    </row>
    <row r="8" spans="1:13" x14ac:dyDescent="0.35">
      <c r="A8" t="s">
        <v>10</v>
      </c>
      <c r="B8" s="3">
        <v>4670</v>
      </c>
      <c r="C8">
        <v>224</v>
      </c>
      <c r="D8">
        <v>527</v>
      </c>
      <c r="E8" s="3">
        <v>5832</v>
      </c>
      <c r="F8" s="3">
        <v>10187</v>
      </c>
      <c r="G8">
        <v>779</v>
      </c>
      <c r="H8" s="3">
        <v>1116</v>
      </c>
      <c r="I8">
        <v>0</v>
      </c>
      <c r="J8" s="3">
        <f t="shared" si="0"/>
        <v>11253</v>
      </c>
      <c r="K8" s="3">
        <f t="shared" si="1"/>
        <v>12082</v>
      </c>
      <c r="L8" s="10">
        <f t="shared" si="2"/>
        <v>1.9905802897005245E-2</v>
      </c>
      <c r="M8" s="10">
        <f t="shared" si="3"/>
        <v>6.4476080119185569E-2</v>
      </c>
    </row>
    <row r="9" spans="1:13" x14ac:dyDescent="0.35">
      <c r="A9" t="s">
        <v>11</v>
      </c>
      <c r="B9" s="3">
        <v>1450</v>
      </c>
      <c r="C9">
        <v>58</v>
      </c>
      <c r="D9">
        <v>295</v>
      </c>
      <c r="E9" s="3">
        <v>1619</v>
      </c>
      <c r="F9" s="3">
        <v>3018</v>
      </c>
      <c r="G9">
        <v>210</v>
      </c>
      <c r="H9">
        <v>333</v>
      </c>
      <c r="I9">
        <v>0</v>
      </c>
      <c r="J9" s="3">
        <f t="shared" si="0"/>
        <v>3422</v>
      </c>
      <c r="K9" s="3">
        <f t="shared" si="1"/>
        <v>3561</v>
      </c>
      <c r="L9" s="10">
        <f t="shared" si="2"/>
        <v>1.6949152542372881E-2</v>
      </c>
      <c r="M9" s="10">
        <f t="shared" si="3"/>
        <v>5.8972198820556022E-2</v>
      </c>
    </row>
    <row r="10" spans="1:13" x14ac:dyDescent="0.35">
      <c r="A10" t="s">
        <v>12</v>
      </c>
      <c r="B10" s="3">
        <v>4767</v>
      </c>
      <c r="C10">
        <v>164</v>
      </c>
      <c r="D10">
        <v>579</v>
      </c>
      <c r="E10" s="3">
        <v>5433</v>
      </c>
      <c r="F10" s="3">
        <v>9570</v>
      </c>
      <c r="G10">
        <v>519</v>
      </c>
      <c r="H10">
        <v>754</v>
      </c>
      <c r="I10">
        <v>0</v>
      </c>
      <c r="J10" s="3">
        <f t="shared" si="0"/>
        <v>10943</v>
      </c>
      <c r="K10" s="3">
        <f t="shared" si="1"/>
        <v>10843</v>
      </c>
      <c r="L10" s="10">
        <f t="shared" si="2"/>
        <v>1.498674952024125E-2</v>
      </c>
      <c r="M10" s="10">
        <f t="shared" si="3"/>
        <v>4.7864982016047219E-2</v>
      </c>
    </row>
    <row r="11" spans="1:13" x14ac:dyDescent="0.35">
      <c r="A11" t="s">
        <v>13</v>
      </c>
      <c r="B11" s="3">
        <v>2483</v>
      </c>
      <c r="C11">
        <v>81</v>
      </c>
      <c r="D11">
        <v>212</v>
      </c>
      <c r="E11" s="3">
        <v>2781</v>
      </c>
      <c r="F11" s="3">
        <v>5244</v>
      </c>
      <c r="G11">
        <v>268</v>
      </c>
      <c r="H11">
        <v>274</v>
      </c>
      <c r="I11">
        <v>0</v>
      </c>
      <c r="J11" s="3">
        <f t="shared" si="0"/>
        <v>5557</v>
      </c>
      <c r="K11" s="3">
        <f t="shared" si="1"/>
        <v>5786</v>
      </c>
      <c r="L11" s="10">
        <f t="shared" si="2"/>
        <v>1.4576210185351808E-2</v>
      </c>
      <c r="M11" s="10">
        <f t="shared" si="3"/>
        <v>4.6318700311095751E-2</v>
      </c>
    </row>
    <row r="12" spans="1:13" x14ac:dyDescent="0.35">
      <c r="A12" t="s">
        <v>14</v>
      </c>
      <c r="B12" s="3">
        <v>5867</v>
      </c>
      <c r="C12">
        <v>253</v>
      </c>
      <c r="D12">
        <v>646</v>
      </c>
      <c r="E12" s="3">
        <v>7056</v>
      </c>
      <c r="F12" s="3">
        <v>15930</v>
      </c>
      <c r="G12" s="3">
        <v>1167</v>
      </c>
      <c r="H12" s="3">
        <v>1271</v>
      </c>
      <c r="I12">
        <v>0</v>
      </c>
      <c r="J12" s="3">
        <f t="shared" si="0"/>
        <v>13822</v>
      </c>
      <c r="K12" s="3">
        <f t="shared" si="1"/>
        <v>18368</v>
      </c>
      <c r="L12" s="10">
        <f t="shared" si="2"/>
        <v>1.8304152799884243E-2</v>
      </c>
      <c r="M12" s="10">
        <f t="shared" si="3"/>
        <v>6.3534407665505221E-2</v>
      </c>
    </row>
    <row r="13" spans="1:13" x14ac:dyDescent="0.35">
      <c r="A13" t="s">
        <v>15</v>
      </c>
      <c r="B13" s="3">
        <v>6751</v>
      </c>
      <c r="C13">
        <v>327</v>
      </c>
      <c r="D13">
        <v>700</v>
      </c>
      <c r="E13" s="3">
        <v>7986</v>
      </c>
      <c r="F13" s="3">
        <v>15677</v>
      </c>
      <c r="G13" s="3">
        <v>1112</v>
      </c>
      <c r="H13" s="3">
        <v>1546</v>
      </c>
      <c r="I13">
        <v>0</v>
      </c>
      <c r="J13" s="3">
        <f t="shared" si="0"/>
        <v>15764</v>
      </c>
      <c r="K13" s="3">
        <f t="shared" si="1"/>
        <v>18335</v>
      </c>
      <c r="L13" s="10">
        <f t="shared" si="2"/>
        <v>2.0743466125348897E-2</v>
      </c>
      <c r="M13" s="10">
        <f t="shared" si="3"/>
        <v>6.0649031906190344E-2</v>
      </c>
    </row>
    <row r="14" spans="1:13" x14ac:dyDescent="0.35">
      <c r="A14" t="s">
        <v>16</v>
      </c>
      <c r="B14" s="3">
        <v>5135</v>
      </c>
      <c r="C14">
        <v>208</v>
      </c>
      <c r="D14">
        <v>553</v>
      </c>
      <c r="E14" s="3">
        <v>5713</v>
      </c>
      <c r="F14" s="3">
        <v>11308</v>
      </c>
      <c r="G14">
        <v>713</v>
      </c>
      <c r="H14">
        <v>765</v>
      </c>
      <c r="I14">
        <v>0</v>
      </c>
      <c r="J14" s="3">
        <f t="shared" si="0"/>
        <v>11609</v>
      </c>
      <c r="K14" s="3">
        <f t="shared" si="1"/>
        <v>12786</v>
      </c>
      <c r="L14" s="10">
        <f t="shared" si="2"/>
        <v>1.7917133258678612E-2</v>
      </c>
      <c r="M14" s="10">
        <f t="shared" si="3"/>
        <v>5.5764117002972E-2</v>
      </c>
    </row>
    <row r="15" spans="1:13" ht="15" x14ac:dyDescent="0.4">
      <c r="A15" s="11" t="s">
        <v>567</v>
      </c>
      <c r="B15" s="3">
        <f>SUM(B5:B14)</f>
        <v>52399</v>
      </c>
      <c r="C15" s="3">
        <f t="shared" ref="C15:I15" si="4">SUM(C5:C14)</f>
        <v>2405</v>
      </c>
      <c r="D15" s="3">
        <f t="shared" si="4"/>
        <v>5860</v>
      </c>
      <c r="E15" s="3">
        <f t="shared" si="4"/>
        <v>60476</v>
      </c>
      <c r="F15" s="3">
        <f t="shared" si="4"/>
        <v>120522</v>
      </c>
      <c r="G15" s="3">
        <f t="shared" si="4"/>
        <v>8689</v>
      </c>
      <c r="H15" s="3">
        <f t="shared" si="4"/>
        <v>10214</v>
      </c>
      <c r="I15" s="3">
        <f t="shared" si="4"/>
        <v>0</v>
      </c>
      <c r="J15" s="3">
        <f t="shared" si="0"/>
        <v>121140</v>
      </c>
      <c r="K15" s="3">
        <f t="shared" si="1"/>
        <v>139425</v>
      </c>
      <c r="L15" s="10">
        <f t="shared" si="2"/>
        <v>1.9853062572230476E-2</v>
      </c>
      <c r="M15" s="10">
        <f t="shared" si="3"/>
        <v>6.2320243858705396E-2</v>
      </c>
    </row>
    <row r="16" spans="1:13" x14ac:dyDescent="0.35">
      <c r="A16" t="s">
        <v>637</v>
      </c>
      <c r="B16" s="37">
        <v>145</v>
      </c>
      <c r="C16" s="37">
        <v>0</v>
      </c>
      <c r="D16" s="37">
        <v>16</v>
      </c>
      <c r="E16" s="37">
        <v>134</v>
      </c>
      <c r="F16" s="37">
        <v>376</v>
      </c>
      <c r="G16" s="37">
        <v>14</v>
      </c>
      <c r="H16" s="37">
        <v>18</v>
      </c>
      <c r="I16" s="37">
        <v>0</v>
      </c>
      <c r="J16" s="3">
        <f t="shared" ref="J16" si="5">SUM(B16:E16)</f>
        <v>295</v>
      </c>
      <c r="K16" s="3">
        <f t="shared" ref="K16" si="6">SUM(F16:I16)</f>
        <v>408</v>
      </c>
      <c r="L16" s="10">
        <f t="shared" ref="L16" si="7">C16/J16</f>
        <v>0</v>
      </c>
      <c r="M16" s="10">
        <f t="shared" ref="M16" si="8">G16/K16</f>
        <v>3.4313725490196081E-2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Summary</vt:lpstr>
      <vt:lpstr>Population</vt:lpstr>
      <vt:lpstr>Sex</vt:lpstr>
      <vt:lpstr>Education</vt:lpstr>
      <vt:lpstr>Employment</vt:lpstr>
      <vt:lpstr>Disengaged</vt:lpstr>
      <vt:lpstr>Transport</vt:lpstr>
      <vt:lpstr>Living arrangements</vt:lpstr>
      <vt:lpstr>Disability</vt:lpstr>
      <vt:lpstr>Language</vt:lpstr>
      <vt:lpstr>AOD Stats</vt:lpstr>
      <vt:lpstr>ACP</vt:lpstr>
      <vt:lpstr>On Track</vt:lpstr>
      <vt:lpstr>PHIDU</vt:lpstr>
      <vt:lpstr>AHWP 2010</vt:lpstr>
      <vt:lpstr>VicHealth</vt:lpstr>
      <vt:lpstr>Summary!Print_Area</vt:lpstr>
    </vt:vector>
  </TitlesOfParts>
  <Company>Cardinia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Arnott</dc:creator>
  <cp:lastModifiedBy>Christy Arnott</cp:lastModifiedBy>
  <cp:lastPrinted>2018-03-21T04:27:49Z</cp:lastPrinted>
  <dcterms:created xsi:type="dcterms:W3CDTF">2018-03-14T22:54:49Z</dcterms:created>
  <dcterms:modified xsi:type="dcterms:W3CDTF">2019-01-15T00:01:26Z</dcterms:modified>
</cp:coreProperties>
</file>